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13_ncr:1_{96C9BC33-E6ED-48F5-B1DD-AF10F905B6D6}" xr6:coauthVersionLast="36" xr6:coauthVersionMax="47" xr10:uidLastSave="{00000000-0000-0000-0000-000000000000}"/>
  <workbookProtection lockStructure="1"/>
  <bookViews>
    <workbookView xWindow="-105" yWindow="-105" windowWidth="21825" windowHeight="13905" xr2:uid="{129EB5A2-3861-40DF-B4BE-A886A502D360}"/>
  </bookViews>
  <sheets>
    <sheet name="偏差値・効果量 自動計算表（57項目版・23項目版）" sheetId="148" r:id="rId1"/>
    <sheet name="DATA" sheetId="149" state="hidden" r:id="rId2"/>
  </sheets>
  <definedNames>
    <definedName name="_xlnm.Print_Area" localSheetId="0">'偏差値・効果量 自動計算表（57項目版・23項目版）'!$A$1:$I$40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9" i="148" l="1"/>
  <c r="E38" i="148"/>
  <c r="E36" i="148"/>
  <c r="E35" i="148"/>
  <c r="E33" i="148"/>
  <c r="E32" i="148"/>
  <c r="E31" i="148"/>
  <c r="E30" i="148"/>
  <c r="E29" i="148"/>
  <c r="E28" i="148"/>
  <c r="E26" i="148"/>
  <c r="E25" i="148"/>
  <c r="E24" i="148"/>
  <c r="E23" i="148"/>
  <c r="E22" i="148"/>
  <c r="E21" i="148"/>
  <c r="E20" i="148"/>
  <c r="E19" i="148"/>
  <c r="E18" i="148"/>
  <c r="E17" i="148"/>
  <c r="E15" i="148"/>
  <c r="E14" i="148"/>
  <c r="E13" i="148"/>
  <c r="E12" i="148"/>
  <c r="E11" i="148"/>
  <c r="E10" i="148"/>
  <c r="E9" i="148"/>
  <c r="E8" i="148"/>
  <c r="E7" i="148"/>
  <c r="E6" i="148"/>
  <c r="D39" i="148"/>
  <c r="D38" i="148"/>
  <c r="D36" i="148"/>
  <c r="D35" i="148"/>
  <c r="D33" i="148"/>
  <c r="D32" i="148"/>
  <c r="D31" i="148"/>
  <c r="D30" i="148"/>
  <c r="D29" i="148"/>
  <c r="D28" i="148"/>
  <c r="D26" i="148"/>
  <c r="D25" i="148"/>
  <c r="D24" i="148"/>
  <c r="D23" i="148"/>
  <c r="D22" i="148"/>
  <c r="D21" i="148"/>
  <c r="D20" i="148"/>
  <c r="D19" i="148"/>
  <c r="D18" i="148"/>
  <c r="D17" i="148"/>
  <c r="D15" i="148"/>
  <c r="D14" i="148"/>
  <c r="D13" i="148"/>
  <c r="D12" i="148"/>
  <c r="D11" i="148"/>
  <c r="D10" i="148"/>
  <c r="D9" i="148"/>
  <c r="D8" i="148"/>
  <c r="D5" i="148"/>
  <c r="D6" i="148"/>
  <c r="D7" i="148"/>
  <c r="E5" i="148"/>
  <c r="G18" i="148" l="1"/>
  <c r="I18" i="148" s="1"/>
  <c r="G19" i="148"/>
  <c r="I19" i="148" s="1"/>
  <c r="G20" i="148"/>
  <c r="I20" i="148" s="1"/>
  <c r="G17" i="148"/>
  <c r="I17" i="148" s="1"/>
  <c r="G12" i="148"/>
  <c r="I12" i="148" s="1"/>
  <c r="G7" i="148"/>
  <c r="I7" i="148" s="1"/>
  <c r="G8" i="148"/>
  <c r="I8" i="148" s="1"/>
  <c r="G6" i="148"/>
  <c r="I6" i="148" s="1"/>
  <c r="G22" i="148"/>
  <c r="I22" i="148" s="1"/>
  <c r="G25" i="148"/>
  <c r="I25" i="148" s="1"/>
  <c r="G28" i="148"/>
  <c r="I28" i="148" s="1"/>
  <c r="F11" i="148"/>
  <c r="H11" i="148" s="1"/>
  <c r="G29" i="148"/>
  <c r="I29" i="148" s="1"/>
  <c r="G14" i="148"/>
  <c r="I14" i="148" s="1"/>
  <c r="G23" i="148"/>
  <c r="I23" i="148" s="1"/>
  <c r="G21" i="148"/>
  <c r="I21" i="148" s="1"/>
  <c r="G30" i="148"/>
  <c r="I30" i="148" s="1"/>
  <c r="G31" i="148"/>
  <c r="I31" i="148" s="1"/>
  <c r="G13" i="148"/>
  <c r="I13" i="148" s="1"/>
  <c r="F30" i="148"/>
  <c r="H30" i="148" s="1"/>
  <c r="G24" i="148"/>
  <c r="I24" i="148" s="1"/>
  <c r="G9" i="148"/>
  <c r="I9" i="148" s="1"/>
  <c r="F13" i="148"/>
  <c r="H13" i="148" s="1"/>
  <c r="F12" i="148"/>
  <c r="H12" i="148" s="1"/>
  <c r="F21" i="148"/>
  <c r="H21" i="148" s="1"/>
  <c r="F22" i="148"/>
  <c r="H22" i="148" s="1"/>
  <c r="G11" i="148"/>
  <c r="I11" i="148" s="1"/>
  <c r="F31" i="148"/>
  <c r="H31" i="148" s="1"/>
  <c r="F14" i="148"/>
  <c r="H14" i="148" s="1"/>
  <c r="F23" i="148"/>
  <c r="H23" i="148" s="1"/>
  <c r="F24" i="148"/>
  <c r="H24" i="148" s="1"/>
  <c r="F17" i="148"/>
  <c r="H17" i="148" s="1"/>
  <c r="F25" i="148"/>
  <c r="H25" i="148" s="1"/>
  <c r="F9" i="148"/>
  <c r="H9" i="148" s="1"/>
  <c r="F18" i="148"/>
  <c r="H18" i="148" s="1"/>
  <c r="F19" i="148"/>
  <c r="H19" i="148" s="1"/>
  <c r="F28" i="148"/>
  <c r="H28" i="148" s="1"/>
  <c r="F20" i="148"/>
  <c r="H20" i="148" s="1"/>
  <c r="F29" i="148"/>
  <c r="H29" i="148" s="1"/>
  <c r="F6" i="148"/>
  <c r="H6" i="148" s="1"/>
  <c r="F7" i="148"/>
  <c r="H7" i="148" s="1"/>
  <c r="F8" i="148"/>
  <c r="H8" i="148" s="1"/>
  <c r="G5" i="148"/>
  <c r="I5" i="148" s="1"/>
  <c r="C39" i="148"/>
  <c r="C38" i="148"/>
  <c r="C36" i="148"/>
  <c r="F36" i="148" s="1"/>
  <c r="C35" i="148"/>
  <c r="G35" i="148" s="1"/>
  <c r="C33" i="148"/>
  <c r="G33" i="148" s="1"/>
  <c r="C32" i="148"/>
  <c r="F32" i="148" s="1"/>
  <c r="C26" i="148"/>
  <c r="F26" i="148" s="1"/>
  <c r="C15" i="148"/>
  <c r="F15" i="148" s="1"/>
  <c r="C10" i="148"/>
  <c r="F10" i="148" s="1"/>
  <c r="G26" i="148" l="1"/>
  <c r="G10" i="148"/>
  <c r="G32" i="148"/>
  <c r="I32" i="148" s="1"/>
  <c r="F35" i="148"/>
  <c r="H35" i="148" s="1"/>
  <c r="F33" i="148"/>
  <c r="H33" i="148" s="1"/>
  <c r="G15" i="148"/>
  <c r="I15" i="148" s="1"/>
  <c r="F39" i="148"/>
  <c r="H39" i="148" s="1"/>
  <c r="G36" i="148"/>
  <c r="I36" i="148" s="1"/>
  <c r="F38" i="148"/>
  <c r="H38" i="148" s="1"/>
  <c r="G39" i="148"/>
  <c r="I39" i="148" s="1"/>
  <c r="G38" i="148"/>
  <c r="I38" i="148" s="1"/>
  <c r="H15" i="148"/>
  <c r="I33" i="148"/>
  <c r="I35" i="148"/>
  <c r="I10" i="148"/>
  <c r="I26" i="148"/>
  <c r="H32" i="148"/>
  <c r="F5" i="148"/>
  <c r="H5" i="148" s="1"/>
  <c r="H10" i="148"/>
  <c r="H26" i="148"/>
  <c r="H36" i="148"/>
</calcChain>
</file>

<file path=xl/sharedStrings.xml><?xml version="1.0" encoding="utf-8"?>
<sst xmlns="http://schemas.openxmlformats.org/spreadsheetml/2006/main" count="247" uniqueCount="134">
  <si>
    <t>3–12</t>
  </si>
  <si>
    <t>1–4</t>
  </si>
  <si>
    <t>6–24</t>
  </si>
  <si>
    <t>11–44</t>
  </si>
  <si>
    <t>仕事のストレス要因＋周囲のサポート</t>
  </si>
  <si>
    <t>心身のストレス反応</t>
  </si>
  <si>
    <t>57項目版 仕事の負担（11項目）</t>
  </si>
  <si>
    <t xml:space="preserve"> 抑うつ感（6項目）</t>
  </si>
  <si>
    <t xml:space="preserve"> 身体愁訴</t>
  </si>
  <si>
    <t xml:space="preserve"> 家族・友人からのサポート</t>
  </si>
  <si>
    <t xml:space="preserve"> 仕事や生活の満足度</t>
  </si>
  <si>
    <t>仕事のストレス要因＋周囲のサポート</t>
    <phoneticPr fontId="1"/>
  </si>
  <si>
    <t>18–72</t>
  </si>
  <si>
    <t>9–36</t>
  </si>
  <si>
    <t>2–8</t>
  </si>
  <si>
    <t>29–116</t>
  </si>
  <si>
    <t>26–104</t>
  </si>
  <si>
    <t>12–48</t>
  </si>
  <si>
    <t>【仕事のストレス要因】</t>
    <phoneticPr fontId="1"/>
  </si>
  <si>
    <t>【ストレス反応】</t>
    <phoneticPr fontId="1"/>
  </si>
  <si>
    <t xml:space="preserve"> 心理的な仕事の負担（質）</t>
    <phoneticPr fontId="1"/>
  </si>
  <si>
    <t>【ストレス反応に影響を与える他の因子】</t>
    <phoneticPr fontId="1"/>
  </si>
  <si>
    <t>職場平均値</t>
  </si>
  <si>
    <t>57項目版 仕事の資源（作業レベル6項目）</t>
    <phoneticPr fontId="1"/>
  </si>
  <si>
    <t>心理的ストレス反応合計</t>
    <phoneticPr fontId="1"/>
  </si>
  <si>
    <t>57項目版 仕事の資源（部署レベル9項目）</t>
    <phoneticPr fontId="1"/>
  </si>
  <si>
    <t>23項目版 仕事の資源（部署レベル6項目）</t>
    <phoneticPr fontId="1"/>
  </si>
  <si>
    <t>【高ストレス者選定基準（57項目版）】</t>
    <phoneticPr fontId="1"/>
  </si>
  <si>
    <t>【高ストレス者選定基準（23項目版）】</t>
    <phoneticPr fontId="1"/>
  </si>
  <si>
    <t>効果量変換値（高値＝良好に統一）b)</t>
    <phoneticPr fontId="1"/>
  </si>
  <si>
    <t>偏差値変換値 a)</t>
    <phoneticPr fontId="1"/>
  </si>
  <si>
    <t>効果量変換値 a)</t>
    <phoneticPr fontId="1"/>
  </si>
  <si>
    <t>偏差値変換値（高値＝良好に統一）b)</t>
    <phoneticPr fontId="1"/>
  </si>
  <si>
    <t>得点範囲</t>
    <rPh sb="0" eb="4">
      <t>トクテンハンイ</t>
    </rPh>
    <phoneticPr fontId="1"/>
  </si>
  <si>
    <r>
      <t xml:space="preserve"> 心理的な仕事の負担（量）</t>
    </r>
    <r>
      <rPr>
        <b/>
        <sz val="11"/>
        <color rgb="FF0070C0"/>
        <rFont val="游ゴシック"/>
        <family val="3"/>
        <charset val="128"/>
        <scheme val="minor"/>
      </rPr>
      <t>（57・23項目版共通）</t>
    </r>
    <rPh sb="19" eb="22">
      <t>コウモクバン</t>
    </rPh>
    <rPh sb="22" eb="24">
      <t>キョウツウ</t>
    </rPh>
    <phoneticPr fontId="1"/>
  </si>
  <si>
    <r>
      <t xml:space="preserve"> 仕事のコントロール度</t>
    </r>
    <r>
      <rPr>
        <b/>
        <sz val="11"/>
        <color rgb="FF0070C0"/>
        <rFont val="游ゴシック"/>
        <family val="3"/>
        <charset val="128"/>
        <scheme val="minor"/>
      </rPr>
      <t>（57・23項目版共通）</t>
    </r>
    <phoneticPr fontId="1"/>
  </si>
  <si>
    <t xml:space="preserve"> 自覚的な身体的負担度</t>
    <phoneticPr fontId="1"/>
  </si>
  <si>
    <t xml:space="preserve"> 職場の対人関係でのストレス</t>
    <phoneticPr fontId="1"/>
  </si>
  <si>
    <t xml:space="preserve"> 職場環境によるストレス</t>
    <phoneticPr fontId="1"/>
  </si>
  <si>
    <t xml:space="preserve"> 技能の活用度</t>
    <phoneticPr fontId="1"/>
  </si>
  <si>
    <t xml:space="preserve"> 仕事の適性度</t>
    <phoneticPr fontId="1"/>
  </si>
  <si>
    <t xml:space="preserve"> 働きがい</t>
    <phoneticPr fontId="1"/>
  </si>
  <si>
    <t xml:space="preserve"> 活気</t>
    <phoneticPr fontId="1"/>
  </si>
  <si>
    <t xml:space="preserve"> イライラ感</t>
    <phoneticPr fontId="1"/>
  </si>
  <si>
    <r>
      <t xml:space="preserve"> 抑うつ感（3項目）</t>
    </r>
    <r>
      <rPr>
        <b/>
        <sz val="11"/>
        <color rgb="FF0070C0"/>
        <rFont val="游ゴシック"/>
        <family val="3"/>
        <charset val="128"/>
        <scheme val="minor"/>
      </rPr>
      <t>（23項目版のみ）</t>
    </r>
    <rPh sb="13" eb="16">
      <t>コウモクバン</t>
    </rPh>
    <phoneticPr fontId="1"/>
  </si>
  <si>
    <r>
      <t xml:space="preserve">  食欲不振</t>
    </r>
    <r>
      <rPr>
        <b/>
        <sz val="11"/>
        <color rgb="FF0070C0"/>
        <rFont val="游ゴシック"/>
        <family val="3"/>
        <charset val="128"/>
        <scheme val="minor"/>
      </rPr>
      <t>（23項目版のみ）</t>
    </r>
    <rPh sb="9" eb="12">
      <t>コウモクバン</t>
    </rPh>
    <phoneticPr fontId="1"/>
  </si>
  <si>
    <r>
      <t xml:space="preserve">  不眠</t>
    </r>
    <r>
      <rPr>
        <b/>
        <sz val="11"/>
        <color rgb="FF0070C0"/>
        <rFont val="游ゴシック"/>
        <family val="3"/>
        <charset val="128"/>
        <scheme val="minor"/>
      </rPr>
      <t>（23項目版のみ）</t>
    </r>
    <rPh sb="7" eb="10">
      <t>コウモクバン</t>
    </rPh>
    <phoneticPr fontId="1"/>
  </si>
  <si>
    <r>
      <t xml:space="preserve"> 上司からのサポート</t>
    </r>
    <r>
      <rPr>
        <b/>
        <sz val="11"/>
        <color rgb="FF0070C0"/>
        <rFont val="游ゴシック"/>
        <family val="3"/>
        <charset val="128"/>
        <scheme val="minor"/>
      </rPr>
      <t>（57・23項目版共通）</t>
    </r>
    <phoneticPr fontId="1"/>
  </si>
  <si>
    <r>
      <t xml:space="preserve"> 同僚からのサポート</t>
    </r>
    <r>
      <rPr>
        <b/>
        <sz val="11"/>
        <color rgb="FF0070C0"/>
        <rFont val="游ゴシック"/>
        <family val="3"/>
        <charset val="128"/>
        <scheme val="minor"/>
      </rPr>
      <t>（57・23項目版共通）</t>
    </r>
    <phoneticPr fontId="1"/>
  </si>
  <si>
    <r>
      <t xml:space="preserve"> 疲労感</t>
    </r>
    <r>
      <rPr>
        <b/>
        <sz val="11"/>
        <color rgb="FF0070C0"/>
        <rFont val="游ゴシック"/>
        <family val="3"/>
        <charset val="128"/>
        <scheme val="minor"/>
      </rPr>
      <t>（57・23項目版共通）</t>
    </r>
    <phoneticPr fontId="1"/>
  </si>
  <si>
    <r>
      <t xml:space="preserve"> 不安感</t>
    </r>
    <r>
      <rPr>
        <b/>
        <sz val="11"/>
        <color rgb="FF0070C0"/>
        <rFont val="游ゴシック"/>
        <family val="3"/>
        <charset val="128"/>
        <scheme val="minor"/>
      </rPr>
      <t>（57・23項目版共通）</t>
    </r>
    <phoneticPr fontId="1"/>
  </si>
  <si>
    <t>尺度名</t>
    <rPh sb="0" eb="3">
      <t>シャクドメイ</t>
    </rPh>
    <phoneticPr fontId="1"/>
  </si>
  <si>
    <t>全国平均値</t>
    <rPh sb="0" eb="5">
      <t>ゼンコクヘイキンチ</t>
    </rPh>
    <phoneticPr fontId="1"/>
  </si>
  <si>
    <t>全国標準偏差</t>
    <rPh sb="0" eb="2">
      <t>ゼンコク</t>
    </rPh>
    <rPh sb="2" eb="6">
      <t>ヒョウジュンヘンサ</t>
    </rPh>
    <phoneticPr fontId="1"/>
  </si>
  <si>
    <t>職業性ストレス簡易調査票（57項目版・23項目版）偏差値・効果量変換値 自動計算表</t>
    <rPh sb="25" eb="28">
      <t>ヘンサチ</t>
    </rPh>
    <rPh sb="29" eb="31">
      <t>コウカ</t>
    </rPh>
    <rPh sb="31" eb="32">
      <t>リョウ</t>
    </rPh>
    <rPh sb="32" eb="34">
      <t>ヘンカン</t>
    </rPh>
    <rPh sb="34" eb="35">
      <t>アタイ</t>
    </rPh>
    <rPh sb="36" eb="38">
      <t>ジドウ</t>
    </rPh>
    <rPh sb="38" eb="40">
      <t>ケイサン</t>
    </rPh>
    <rPh sb="40" eb="41">
      <t>ヒョウ</t>
    </rPh>
    <phoneticPr fontId="1"/>
  </si>
  <si>
    <t>全体</t>
  </si>
  <si>
    <t>男性</t>
  </si>
  <si>
    <t>女性</t>
  </si>
  <si>
    <t>10代</t>
  </si>
  <si>
    <t>20代</t>
  </si>
  <si>
    <t>30代</t>
  </si>
  <si>
    <t>40代</t>
  </si>
  <si>
    <t>50代</t>
  </si>
  <si>
    <t>60代以上</t>
  </si>
  <si>
    <t>農林水産業</t>
  </si>
  <si>
    <t>鉱業・採石・砂利採取業</t>
  </si>
  <si>
    <t>建設業</t>
  </si>
  <si>
    <t>製造業</t>
  </si>
  <si>
    <t>電気・ガス・熱供給・水道業</t>
  </si>
  <si>
    <t>情報通信業</t>
  </si>
  <si>
    <t>運輸・郵便業</t>
  </si>
  <si>
    <t>卸売・小売業</t>
  </si>
  <si>
    <t>金融・保険業</t>
  </si>
  <si>
    <t>不動産・物品賃貸業</t>
  </si>
  <si>
    <t>教育・学習支援業</t>
  </si>
  <si>
    <t>医療・福祉</t>
  </si>
  <si>
    <t>サービス業</t>
  </si>
  <si>
    <t>公務</t>
  </si>
  <si>
    <t>事務職</t>
  </si>
  <si>
    <t>営業/販売/接客職</t>
  </si>
  <si>
    <t>専門/技術/研究職</t>
  </si>
  <si>
    <t>製造/運輸/通信/生産/サービス職</t>
  </si>
  <si>
    <t>経営者/役員</t>
  </si>
  <si>
    <t>管理職（部長・課長）</t>
  </si>
  <si>
    <t>主任/一般職</t>
  </si>
  <si>
    <t>正社員</t>
  </si>
  <si>
    <t>契約社員/嘱託社員</t>
  </si>
  <si>
    <t>パート/アルバイト</t>
  </si>
  <si>
    <t>派遣社員</t>
  </si>
  <si>
    <t>裁量</t>
  </si>
  <si>
    <t>フレックス</t>
  </si>
  <si>
    <t>交代制（深夜なし）</t>
  </si>
  <si>
    <t>交代制（深夜あり）</t>
  </si>
  <si>
    <t>属性</t>
    <rPh sb="0" eb="2">
      <t>ゾクセイ</t>
    </rPh>
    <phoneticPr fontId="1"/>
  </si>
  <si>
    <t>その他の性別</t>
    <rPh sb="4" eb="6">
      <t>セイベツ</t>
    </rPh>
    <phoneticPr fontId="1"/>
  </si>
  <si>
    <t>その他の業種</t>
    <rPh sb="4" eb="6">
      <t>ギョウシュ</t>
    </rPh>
    <phoneticPr fontId="1"/>
  </si>
  <si>
    <t>上司からのサポート</t>
  </si>
  <si>
    <t>同僚からのサポート</t>
  </si>
  <si>
    <t>一般勤務</t>
    <rPh sb="2" eb="4">
      <t>キンム</t>
    </rPh>
    <phoneticPr fontId="1"/>
  </si>
  <si>
    <t>平均値</t>
    <rPh sb="0" eb="3">
      <t>ヘイキンチ</t>
    </rPh>
    <phoneticPr fontId="1"/>
  </si>
  <si>
    <t>心理的な仕事の負担（量）</t>
  </si>
  <si>
    <t>心理的な仕事の負担（量）</t>
    <phoneticPr fontId="1"/>
  </si>
  <si>
    <t>心理的な仕事の負担（質）</t>
  </si>
  <si>
    <t>心理的な仕事の負担（質）</t>
    <phoneticPr fontId="1"/>
  </si>
  <si>
    <t>自覚的な身体的負担度</t>
  </si>
  <si>
    <t>職場の対人関係でのストレス</t>
  </si>
  <si>
    <t>職場環境によるストレス</t>
  </si>
  <si>
    <t>仕事のコントロール度</t>
  </si>
  <si>
    <t>技能の活用度</t>
  </si>
  <si>
    <t>仕事の適性度</t>
  </si>
  <si>
    <t>働きがい</t>
  </si>
  <si>
    <t>57項目版 仕事の資源（作業レベル6項目）</t>
  </si>
  <si>
    <t>活気</t>
  </si>
  <si>
    <t>イライラ感</t>
  </si>
  <si>
    <t>疲労感</t>
  </si>
  <si>
    <t>不安感</t>
  </si>
  <si>
    <t>抑うつ感（6項目）</t>
  </si>
  <si>
    <t>抑うつ感（3項目）</t>
  </si>
  <si>
    <t>身体愁訴</t>
  </si>
  <si>
    <t>食欲不振</t>
  </si>
  <si>
    <t>不眠</t>
  </si>
  <si>
    <t>心理的ストレス反応合計</t>
  </si>
  <si>
    <t>家族・友人からのサポート</t>
  </si>
  <si>
    <t>仕事や生活の満足度</t>
  </si>
  <si>
    <t>57項目版 仕事の資源（部署レベル9項目）</t>
  </si>
  <si>
    <t>23項目版 仕事の資源（部署レベル6項目）</t>
  </si>
  <si>
    <t>57項目版 心身のストレス反応</t>
  </si>
  <si>
    <t>57項目版 仕事のストレス要因＋周囲のサポート</t>
  </si>
  <si>
    <t>23項目版 心身のストレス反応</t>
  </si>
  <si>
    <t>23項目版 仕事のストレス要因＋周囲のサポート</t>
  </si>
  <si>
    <t>標準偏差</t>
    <rPh sb="0" eb="2">
      <t>ヒョウジュン</t>
    </rPh>
    <rPh sb="2" eb="4">
      <t>ヘンサ</t>
    </rPh>
    <phoneticPr fontId="1"/>
  </si>
  <si>
    <t>　　　↓水色に網掛けしたセルに職場の平均値を入力してください。要約指標の合計値や偏差値・効果量の変換値が算出されます。</t>
    <rPh sb="4" eb="6">
      <t>ミズイロ</t>
    </rPh>
    <rPh sb="7" eb="9">
      <t>アミカ</t>
    </rPh>
    <rPh sb="15" eb="17">
      <t>ショクバ</t>
    </rPh>
    <rPh sb="18" eb="21">
      <t>ヘイキンチ</t>
    </rPh>
    <rPh sb="22" eb="24">
      <t>ニュウリョク</t>
    </rPh>
    <rPh sb="31" eb="33">
      <t>ヨウヤク</t>
    </rPh>
    <rPh sb="33" eb="35">
      <t>シヒョウ</t>
    </rPh>
    <rPh sb="36" eb="39">
      <t>ゴウケイチ</t>
    </rPh>
    <rPh sb="40" eb="43">
      <t>ヘンサチ</t>
    </rPh>
    <rPh sb="44" eb="46">
      <t>コウカ</t>
    </rPh>
    <rPh sb="46" eb="47">
      <t>リョウ</t>
    </rPh>
    <rPh sb="48" eb="50">
      <t>ヘンカン</t>
    </rPh>
    <rPh sb="50" eb="51">
      <t>アタイ</t>
    </rPh>
    <rPh sb="52" eb="54">
      <t>サンシュツ</t>
    </rPh>
    <phoneticPr fontId="1"/>
  </si>
  <si>
    <t>←セルを選択するとプルダウンが出ます。表示したい属性を選択してください。</t>
    <rPh sb="4" eb="6">
      <t>センタク</t>
    </rPh>
    <rPh sb="15" eb="16">
      <t>デ</t>
    </rPh>
    <rPh sb="19" eb="21">
      <t>ヒョウジ</t>
    </rPh>
    <rPh sb="24" eb="26">
      <t>ゾクセイ</t>
    </rPh>
    <rPh sb="27" eb="29">
      <t>センタク</t>
    </rPh>
    <phoneticPr fontId="1"/>
  </si>
  <si>
    <r>
      <rPr>
        <b/>
        <sz val="11"/>
        <color rgb="FF0000CC"/>
        <rFont val="游ゴシック"/>
        <family val="3"/>
        <charset val="128"/>
        <scheme val="minor"/>
      </rPr>
      <t>a) 別冊の表に掲載している一覧表を使用した場合の変換値が表示されています。下位尺度によって、高値であることの解釈（良好な状態を表すのか、リスクが高い状態を表すのか）が異なります（【仕事のストレス要因】【ストレス反応〔活気を除く〕】【高ストレス者選定基準】に含まれる下位尺度は「高値であるほどリスクが高い状態を表す」と解釈します）。</t>
    </r>
    <r>
      <rPr>
        <b/>
        <sz val="11"/>
        <rFont val="游ゴシック"/>
        <family val="3"/>
        <charset val="128"/>
        <scheme val="minor"/>
      </rPr>
      <t xml:space="preserve">
</t>
    </r>
    <r>
      <rPr>
        <b/>
        <sz val="11"/>
        <color rgb="FF006600"/>
        <rFont val="游ゴシック"/>
        <family val="3"/>
        <charset val="128"/>
        <scheme val="minor"/>
      </rPr>
      <t>b)「高値であるほど良好な状態を表す」と解釈できるよう、数値の方向性を統一した場合の変換値が表示されています（下位尺度間で変換値を直接比較したい場合は、こちらをご使用ください）。</t>
    </r>
    <rPh sb="3" eb="5">
      <t>ベッサツ</t>
    </rPh>
    <rPh sb="6" eb="7">
      <t>ヒョウ</t>
    </rPh>
    <rPh sb="8" eb="10">
      <t>ケイサイ</t>
    </rPh>
    <rPh sb="14" eb="16">
      <t>イチラン</t>
    </rPh>
    <rPh sb="16" eb="17">
      <t>ヒョウ</t>
    </rPh>
    <rPh sb="18" eb="20">
      <t>シヨウ</t>
    </rPh>
    <rPh sb="22" eb="24">
      <t>バアイ</t>
    </rPh>
    <rPh sb="25" eb="27">
      <t>ヘンカン</t>
    </rPh>
    <rPh sb="27" eb="28">
      <t>アタイ</t>
    </rPh>
    <rPh sb="29" eb="31">
      <t>ヒョウジ</t>
    </rPh>
    <rPh sb="38" eb="40">
      <t>カイ</t>
    </rPh>
    <rPh sb="40" eb="42">
      <t>シャクド</t>
    </rPh>
    <rPh sb="47" eb="48">
      <t>タカ</t>
    </rPh>
    <rPh sb="48" eb="49">
      <t>アタイ</t>
    </rPh>
    <rPh sb="55" eb="57">
      <t>カイシャク</t>
    </rPh>
    <rPh sb="58" eb="60">
      <t>リョウコウ</t>
    </rPh>
    <rPh sb="61" eb="63">
      <t>ジョウタイ</t>
    </rPh>
    <rPh sb="64" eb="65">
      <t>アラワ</t>
    </rPh>
    <rPh sb="73" eb="74">
      <t>タカ</t>
    </rPh>
    <rPh sb="75" eb="77">
      <t>ジョウタイ</t>
    </rPh>
    <rPh sb="78" eb="79">
      <t>アラワ</t>
    </rPh>
    <rPh sb="84" eb="85">
      <t>コト</t>
    </rPh>
    <rPh sb="91" eb="93">
      <t>シゴト</t>
    </rPh>
    <rPh sb="98" eb="100">
      <t>ヨウイン</t>
    </rPh>
    <rPh sb="106" eb="108">
      <t>ハンノウ</t>
    </rPh>
    <rPh sb="109" eb="111">
      <t>カッキ</t>
    </rPh>
    <rPh sb="112" eb="113">
      <t>ノゾ</t>
    </rPh>
    <rPh sb="117" eb="118">
      <t>タカ</t>
    </rPh>
    <rPh sb="122" eb="123">
      <t>モノ</t>
    </rPh>
    <rPh sb="123" eb="125">
      <t>センテイ</t>
    </rPh>
    <rPh sb="125" eb="127">
      <t>キジュン</t>
    </rPh>
    <rPh sb="129" eb="130">
      <t>フク</t>
    </rPh>
    <rPh sb="133" eb="135">
      <t>カイ</t>
    </rPh>
    <rPh sb="135" eb="137">
      <t>シャクド</t>
    </rPh>
    <rPh sb="139" eb="140">
      <t>タカ</t>
    </rPh>
    <rPh sb="140" eb="141">
      <t>アタイ</t>
    </rPh>
    <rPh sb="150" eb="151">
      <t>タカ</t>
    </rPh>
    <rPh sb="152" eb="154">
      <t>ジョウタイ</t>
    </rPh>
    <rPh sb="155" eb="156">
      <t>アラワ</t>
    </rPh>
    <rPh sb="159" eb="161">
      <t>カイシャク</t>
    </rPh>
    <rPh sb="170" eb="171">
      <t>タカ</t>
    </rPh>
    <rPh sb="171" eb="172">
      <t>チ</t>
    </rPh>
    <rPh sb="177" eb="179">
      <t>リョウコウ</t>
    </rPh>
    <rPh sb="180" eb="182">
      <t>ジョウタイ</t>
    </rPh>
    <rPh sb="183" eb="184">
      <t>アラワ</t>
    </rPh>
    <rPh sb="187" eb="189">
      <t>カイシャク</t>
    </rPh>
    <rPh sb="195" eb="197">
      <t>スウチ</t>
    </rPh>
    <rPh sb="198" eb="201">
      <t>ホウコウセイ</t>
    </rPh>
    <rPh sb="202" eb="204">
      <t>トウイツ</t>
    </rPh>
    <rPh sb="206" eb="208">
      <t>バアイ</t>
    </rPh>
    <rPh sb="209" eb="211">
      <t>ヘンカン</t>
    </rPh>
    <rPh sb="211" eb="212">
      <t>アタイ</t>
    </rPh>
    <rPh sb="232" eb="234">
      <t>チョクセツカイシャクドアイダヘンカンアタイヒカクバアイシヨウ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</si>
</sst>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3" x14ac:knownFonts="1">
    <font>
      <sz val="11"/>
      <color theme="1"/>
      <name val="游ゴシック"/>
      <family val="2"/>
      <charset val="128"/>
      <scheme val="minor"/>
    </font>
    <font>
      <sz val="6"/>
      <name val="游ゴシック"/>
      <family val="2"/>
      <charset val="128"/>
      <scheme val="minor"/>
    </font>
    <font>
      <sz val="10"/>
      <name val="Arial"/>
      <family val="2"/>
    </font>
    <font>
      <b/>
      <sz val="11"/>
      <color theme="1"/>
      <name val="游ゴシック"/>
      <family val="3"/>
      <charset val="128"/>
      <scheme val="minor"/>
    </font>
    <font>
      <sz val="10"/>
      <name val="Arial"/>
      <family val="2"/>
    </font>
    <font>
      <sz val="10"/>
      <name val="Arial"/>
      <family val="2"/>
    </font>
    <font>
      <b/>
      <sz val="11"/>
      <name val="游ゴシック"/>
      <family val="3"/>
      <charset val="128"/>
      <scheme val="minor"/>
    </font>
    <font>
      <sz val="11"/>
      <name val="游ゴシック"/>
      <family val="3"/>
      <charset val="128"/>
      <scheme val="minor"/>
    </font>
    <font>
      <b/>
      <sz val="11"/>
      <color rgb="FF0000CC"/>
      <name val="游ゴシック"/>
      <family val="3"/>
      <charset val="128"/>
      <scheme val="minor"/>
    </font>
    <font>
      <b/>
      <sz val="11"/>
      <color rgb="FFCC0000"/>
      <name val="游ゴシック"/>
      <family val="3"/>
      <charset val="128"/>
      <scheme val="minor"/>
    </font>
    <font>
      <b/>
      <sz val="11"/>
      <color rgb="FF0070C0"/>
      <name val="游ゴシック"/>
      <family val="3"/>
      <charset val="128"/>
      <scheme val="minor"/>
    </font>
    <font>
      <b/>
      <sz val="11"/>
      <color rgb="FF006600"/>
      <name val="游ゴシック"/>
      <family val="3"/>
      <charset val="128"/>
      <scheme val="minor"/>
    </font>
    <font>
      <b/>
      <sz val="11"/>
      <color rgb="FFC00000"/>
      <name val="游ゴシック"/>
      <family val="3"/>
      <charset val="128"/>
      <scheme val="minor"/>
    </font>
  </fonts>
  <fills count="7">
    <fill>
      <patternFill patternType="none"/>
    </fill>
    <fill>
      <patternFill patternType="gray125"/>
    </fill>
    <fill>
      <patternFill patternType="solid">
        <fgColor theme="0" tint="-4.9989318521683403E-2"/>
        <bgColor indexed="64"/>
      </patternFill>
    </fill>
    <fill>
      <patternFill patternType="solid">
        <fgColor rgb="FFCCFFFF"/>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3">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s>
  <cellStyleXfs count="5">
    <xf numFmtId="0" fontId="0" fillId="0" borderId="0">
      <alignment vertical="center"/>
    </xf>
    <xf numFmtId="0" fontId="4" fillId="0" borderId="0"/>
    <xf numFmtId="0" fontId="2" fillId="0" borderId="0"/>
    <xf numFmtId="0" fontId="4" fillId="0" borderId="0"/>
    <xf numFmtId="0" fontId="5" fillId="0" borderId="0"/>
  </cellStyleXfs>
  <cellXfs count="56">
    <xf numFmtId="0" fontId="0" fillId="0" borderId="0" xfId="0">
      <alignment vertical="center"/>
    </xf>
    <xf numFmtId="0" fontId="7" fillId="0" borderId="0" xfId="0" applyFont="1">
      <alignment vertical="center"/>
    </xf>
    <xf numFmtId="0" fontId="7" fillId="0" borderId="0" xfId="0" applyFont="1" applyAlignment="1">
      <alignment horizontal="center" vertical="center"/>
    </xf>
    <xf numFmtId="0" fontId="6" fillId="0" borderId="4" xfId="0" applyFont="1" applyBorder="1" applyAlignment="1">
      <alignment horizontal="justify" vertical="center"/>
    </xf>
    <xf numFmtId="0" fontId="7" fillId="0" borderId="4" xfId="0" applyFont="1" applyBorder="1">
      <alignment vertical="center"/>
    </xf>
    <xf numFmtId="0" fontId="7" fillId="0" borderId="4" xfId="0" applyFont="1" applyBorder="1" applyAlignment="1">
      <alignment horizontal="justify" vertical="center"/>
    </xf>
    <xf numFmtId="2" fontId="8" fillId="0" borderId="4" xfId="0" applyNumberFormat="1" applyFont="1" applyBorder="1" applyAlignment="1">
      <alignment horizontal="center" vertical="center"/>
    </xf>
    <xf numFmtId="0" fontId="9" fillId="0" borderId="0" xfId="0" applyFont="1">
      <alignment vertical="center"/>
    </xf>
    <xf numFmtId="0" fontId="6" fillId="0" borderId="0" xfId="0" applyFont="1">
      <alignment vertical="center"/>
    </xf>
    <xf numFmtId="176" fontId="8" fillId="0" borderId="6" xfId="0" applyNumberFormat="1" applyFont="1" applyBorder="1" applyAlignment="1">
      <alignment horizontal="center" vertical="center"/>
    </xf>
    <xf numFmtId="0" fontId="6" fillId="2" borderId="4" xfId="0" applyFont="1" applyFill="1" applyBorder="1" applyAlignment="1">
      <alignment horizontal="justify" vertical="center"/>
    </xf>
    <xf numFmtId="2" fontId="8" fillId="2" borderId="4" xfId="0" applyNumberFormat="1" applyFont="1" applyFill="1" applyBorder="1" applyAlignment="1">
      <alignment horizontal="center" vertical="center"/>
    </xf>
    <xf numFmtId="0" fontId="7" fillId="2" borderId="4" xfId="0" applyFont="1" applyFill="1" applyBorder="1" applyAlignment="1">
      <alignment horizontal="justify" vertical="center"/>
    </xf>
    <xf numFmtId="2" fontId="6" fillId="4" borderId="4" xfId="0" applyNumberFormat="1" applyFont="1" applyFill="1" applyBorder="1" applyAlignment="1">
      <alignment horizontal="center" vertical="center"/>
    </xf>
    <xf numFmtId="0" fontId="3" fillId="4" borderId="4" xfId="0" applyFont="1" applyFill="1" applyBorder="1" applyAlignment="1">
      <alignment horizontal="center" vertical="center"/>
    </xf>
    <xf numFmtId="176" fontId="11" fillId="0" borderId="4" xfId="0" applyNumberFormat="1" applyFont="1" applyBorder="1" applyAlignment="1">
      <alignment horizontal="center" vertical="center"/>
    </xf>
    <xf numFmtId="2" fontId="11" fillId="0" borderId="4" xfId="0" applyNumberFormat="1" applyFont="1" applyBorder="1" applyAlignment="1">
      <alignment horizontal="center" vertical="center"/>
    </xf>
    <xf numFmtId="176" fontId="11" fillId="2" borderId="4" xfId="0" applyNumberFormat="1" applyFont="1" applyFill="1" applyBorder="1" applyAlignment="1">
      <alignment horizontal="center" vertical="center"/>
    </xf>
    <xf numFmtId="2" fontId="11" fillId="2" borderId="4" xfId="0" applyNumberFormat="1" applyFont="1" applyFill="1" applyBorder="1" applyAlignment="1">
      <alignment horizontal="center" vertical="center"/>
    </xf>
    <xf numFmtId="2" fontId="3" fillId="4" borderId="4" xfId="0" applyNumberFormat="1" applyFont="1" applyFill="1" applyBorder="1" applyAlignment="1">
      <alignment horizontal="center" vertical="center"/>
    </xf>
    <xf numFmtId="0" fontId="3" fillId="4" borderId="5" xfId="0" applyFont="1" applyFill="1" applyBorder="1" applyAlignment="1">
      <alignment horizontal="center" vertical="center"/>
    </xf>
    <xf numFmtId="0" fontId="7" fillId="0" borderId="2" xfId="0" applyFont="1" applyBorder="1">
      <alignment vertical="center"/>
    </xf>
    <xf numFmtId="2" fontId="9" fillId="2" borderId="0" xfId="0" applyNumberFormat="1" applyFont="1" applyFill="1" applyAlignment="1">
      <alignment horizontal="center" vertical="center"/>
    </xf>
    <xf numFmtId="2" fontId="9" fillId="2" borderId="1" xfId="0" applyNumberFormat="1" applyFont="1" applyFill="1" applyBorder="1" applyAlignment="1">
      <alignment horizontal="center" vertical="center"/>
    </xf>
    <xf numFmtId="2" fontId="9" fillId="0" borderId="2" xfId="0" applyNumberFormat="1" applyFont="1" applyBorder="1" applyAlignment="1">
      <alignment horizontal="center" vertical="center"/>
    </xf>
    <xf numFmtId="2" fontId="9" fillId="2" borderId="3" xfId="0" applyNumberFormat="1" applyFont="1" applyFill="1" applyBorder="1" applyAlignment="1">
      <alignment horizontal="center" vertical="center"/>
    </xf>
    <xf numFmtId="2" fontId="9" fillId="0" borderId="3" xfId="0" applyNumberFormat="1" applyFont="1" applyBorder="1" applyAlignment="1">
      <alignment horizontal="center" vertical="center"/>
    </xf>
    <xf numFmtId="0" fontId="3" fillId="4" borderId="6" xfId="0" applyFont="1" applyFill="1" applyBorder="1" applyAlignment="1">
      <alignment horizontal="center" vertical="center"/>
    </xf>
    <xf numFmtId="0" fontId="7" fillId="0" borderId="6" xfId="0" applyFont="1" applyBorder="1">
      <alignment vertical="center"/>
    </xf>
    <xf numFmtId="176" fontId="8" fillId="2" borderId="6" xfId="0" applyNumberFormat="1" applyFont="1" applyFill="1" applyBorder="1" applyAlignment="1">
      <alignment horizontal="center" vertical="center"/>
    </xf>
    <xf numFmtId="2" fontId="6" fillId="0" borderId="4" xfId="0" applyNumberFormat="1" applyFont="1" applyBorder="1" applyAlignment="1">
      <alignment horizontal="center" vertical="center"/>
    </xf>
    <xf numFmtId="2" fontId="6" fillId="0" borderId="6" xfId="0" applyNumberFormat="1" applyFont="1" applyBorder="1" applyAlignment="1">
      <alignment horizontal="center" vertical="center"/>
    </xf>
    <xf numFmtId="0" fontId="12" fillId="0" borderId="0" xfId="0" applyFont="1">
      <alignment vertical="center"/>
    </xf>
    <xf numFmtId="2" fontId="6" fillId="2" borderId="4" xfId="0" applyNumberFormat="1" applyFont="1" applyFill="1" applyBorder="1" applyAlignment="1">
      <alignment horizontal="center" vertical="center"/>
    </xf>
    <xf numFmtId="2" fontId="7" fillId="0" borderId="4" xfId="0" applyNumberFormat="1" applyFont="1" applyBorder="1" applyAlignment="1">
      <alignment horizontal="center" vertical="center"/>
    </xf>
    <xf numFmtId="0" fontId="6" fillId="0" borderId="5" xfId="0" applyFont="1" applyBorder="1" applyAlignment="1">
      <alignment horizontal="center" vertical="center" wrapText="1"/>
    </xf>
    <xf numFmtId="0" fontId="6" fillId="2" borderId="4" xfId="0" applyFont="1" applyFill="1" applyBorder="1" applyAlignment="1">
      <alignment horizontal="center" vertical="center" wrapText="1"/>
    </xf>
    <xf numFmtId="0" fontId="6" fillId="0" borderId="4" xfId="0" applyFont="1" applyBorder="1" applyAlignment="1">
      <alignment horizontal="center" vertical="center"/>
    </xf>
    <xf numFmtId="2" fontId="9" fillId="0" borderId="2" xfId="0" applyNumberFormat="1" applyFont="1" applyBorder="1">
      <alignment vertical="center"/>
    </xf>
    <xf numFmtId="2" fontId="6" fillId="0" borderId="4" xfId="0" applyNumberFormat="1" applyFont="1" applyBorder="1">
      <alignment vertical="center"/>
    </xf>
    <xf numFmtId="0" fontId="0" fillId="0" borderId="4" xfId="0" applyBorder="1">
      <alignment vertical="center"/>
    </xf>
    <xf numFmtId="2" fontId="7" fillId="0" borderId="4" xfId="1" applyNumberFormat="1" applyFont="1" applyBorder="1" applyAlignment="1">
      <alignment horizontal="center" vertical="center"/>
    </xf>
    <xf numFmtId="2" fontId="7" fillId="0" borderId="4" xfId="3" applyNumberFormat="1" applyFont="1" applyBorder="1" applyAlignment="1">
      <alignment horizontal="center" vertical="center"/>
    </xf>
    <xf numFmtId="2" fontId="7" fillId="0" borderId="4" xfId="4" applyNumberFormat="1" applyFont="1" applyBorder="1" applyAlignment="1">
      <alignment horizontal="center" vertical="center"/>
    </xf>
    <xf numFmtId="2" fontId="7" fillId="0" borderId="4" xfId="2" applyNumberFormat="1" applyFont="1" applyBorder="1" applyAlignment="1">
      <alignment horizontal="center" vertical="center"/>
    </xf>
    <xf numFmtId="2" fontId="0" fillId="0" borderId="4" xfId="0" applyNumberFormat="1" applyBorder="1" applyAlignment="1">
      <alignment horizontal="center" vertical="center"/>
    </xf>
    <xf numFmtId="0" fontId="0" fillId="4" borderId="4" xfId="0" applyFill="1" applyBorder="1">
      <alignment vertical="center"/>
    </xf>
    <xf numFmtId="0" fontId="0" fillId="4" borderId="4" xfId="0" applyFill="1" applyBorder="1" applyAlignment="1">
      <alignment horizontal="center" vertical="center"/>
    </xf>
    <xf numFmtId="0" fontId="0" fillId="6" borderId="4" xfId="0" applyFill="1" applyBorder="1" applyAlignment="1">
      <alignment horizontal="center" vertical="center"/>
    </xf>
    <xf numFmtId="0" fontId="0" fillId="5" borderId="12" xfId="0" applyFill="1" applyBorder="1" applyAlignment="1">
      <alignment horizontal="center" vertical="center"/>
    </xf>
    <xf numFmtId="2" fontId="6" fillId="3" borderId="7" xfId="0" applyNumberFormat="1" applyFont="1" applyFill="1" applyBorder="1" applyAlignment="1" applyProtection="1">
      <alignment horizontal="center" vertical="center"/>
      <protection locked="0"/>
    </xf>
    <xf numFmtId="2" fontId="6" fillId="3" borderId="8" xfId="0" applyNumberFormat="1" applyFont="1" applyFill="1" applyBorder="1" applyAlignment="1" applyProtection="1">
      <alignment horizontal="center" vertical="center"/>
      <protection locked="0"/>
    </xf>
    <xf numFmtId="2" fontId="6" fillId="3" borderId="9" xfId="0" applyNumberFormat="1" applyFont="1" applyFill="1" applyBorder="1" applyAlignment="1" applyProtection="1">
      <alignment horizontal="center" vertical="center"/>
      <protection locked="0"/>
    </xf>
    <xf numFmtId="0" fontId="6" fillId="0" borderId="2" xfId="0" applyFont="1" applyBorder="1" applyAlignment="1">
      <alignment horizontal="left" vertical="center" wrapText="1"/>
    </xf>
    <xf numFmtId="0" fontId="6" fillId="6" borderId="10" xfId="0" applyFont="1" applyFill="1" applyBorder="1" applyAlignment="1" applyProtection="1">
      <alignment horizontal="center" vertical="center"/>
      <protection locked="0"/>
    </xf>
    <xf numFmtId="0" fontId="6" fillId="6" borderId="11" xfId="0" applyFont="1" applyFill="1" applyBorder="1" applyAlignment="1" applyProtection="1">
      <alignment horizontal="center" vertical="center"/>
      <protection locked="0"/>
    </xf>
  </cellXfs>
  <cellStyles count="5">
    <cellStyle name="標準" xfId="0" builtinId="0"/>
    <cellStyle name="標準_記述統計（高ストレス判定）" xfId="2" xr:uid="{24E93086-5D8F-42BE-A023-02772122C039}"/>
    <cellStyle name="標準_記述統計（負担・資源・アウトカム合計）" xfId="4" xr:uid="{0F47E1B5-43D9-4262-9EF6-817B1AA46E23}"/>
    <cellStyle name="標準_記述統計（負担・資源合計）" xfId="3" xr:uid="{A104B488-75E0-4B2F-B9C0-4069022D9263}"/>
    <cellStyle name="標準_記述統計_1" xfId="1" xr:uid="{DA0BAADF-4093-4ACC-9E9A-2852B0FE3C3F}"/>
  </cellStyles>
  <dxfs count="0"/>
  <tableStyles count="0" defaultTableStyle="TableStyleMedium2" defaultPivotStyle="PivotStyleLight16"/>
  <colors>
    <mruColors>
      <color rgb="FFFFFFCC"/>
      <color rgb="FFFFCCFF"/>
      <color rgb="FFCCFFCC"/>
      <color rgb="FF0000CC"/>
      <color rgb="FFCC0000"/>
      <color rgb="FFA50021"/>
      <color rgb="FF990033"/>
      <color rgb="FF800000"/>
      <color rgb="FF00660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3C7FA-22E6-4ACF-AAE7-2CEC08F8EE4E}">
  <dimension ref="A1:I40"/>
  <sheetViews>
    <sheetView tabSelected="1" view="pageBreakPreview" zoomScale="70" zoomScaleNormal="100" zoomScaleSheetLayoutView="70" workbookViewId="0">
      <selection activeCell="E1" sqref="E1:F1"/>
    </sheetView>
  </sheetViews>
  <sheetFormatPr defaultRowHeight="18.75" x14ac:dyDescent="0.4"/>
  <cols>
    <col min="1" max="1" width="43" customWidth="1"/>
    <col min="2" max="2" width="8.75" customWidth="1"/>
    <col min="3" max="5" width="12.5" customWidth="1"/>
    <col min="6" max="7" width="20" customWidth="1"/>
    <col min="8" max="9" width="32.625" customWidth="1"/>
  </cols>
  <sheetData>
    <row r="1" spans="1:9" ht="19.5" thickBot="1" x14ac:dyDescent="0.45">
      <c r="A1" s="8" t="s">
        <v>54</v>
      </c>
      <c r="B1" s="8"/>
      <c r="C1" s="1"/>
      <c r="D1" s="1"/>
      <c r="E1" s="54" t="s">
        <v>55</v>
      </c>
      <c r="F1" s="55"/>
      <c r="G1" s="32" t="s">
        <v>132</v>
      </c>
      <c r="H1" s="1"/>
      <c r="I1" s="1"/>
    </row>
    <row r="2" spans="1:9" x14ac:dyDescent="0.4">
      <c r="A2" s="2"/>
      <c r="B2" s="2"/>
      <c r="C2" s="7" t="s">
        <v>131</v>
      </c>
      <c r="D2" s="7"/>
      <c r="E2" s="7"/>
      <c r="F2" s="1"/>
      <c r="G2" s="1"/>
      <c r="H2" s="1"/>
      <c r="I2" s="1"/>
    </row>
    <row r="3" spans="1:9" x14ac:dyDescent="0.4">
      <c r="A3" s="19" t="s">
        <v>51</v>
      </c>
      <c r="B3" s="13" t="s">
        <v>33</v>
      </c>
      <c r="C3" s="20" t="s">
        <v>22</v>
      </c>
      <c r="D3" s="14" t="s">
        <v>52</v>
      </c>
      <c r="E3" s="14" t="s">
        <v>53</v>
      </c>
      <c r="F3" s="27" t="s">
        <v>30</v>
      </c>
      <c r="G3" s="14" t="s">
        <v>31</v>
      </c>
      <c r="H3" s="14" t="s">
        <v>32</v>
      </c>
      <c r="I3" s="14" t="s">
        <v>29</v>
      </c>
    </row>
    <row r="4" spans="1:9" ht="19.5" thickBot="1" x14ac:dyDescent="0.45">
      <c r="A4" s="3" t="s">
        <v>18</v>
      </c>
      <c r="B4" s="3"/>
      <c r="C4" s="21"/>
      <c r="D4" s="4"/>
      <c r="E4" s="4"/>
      <c r="F4" s="28"/>
      <c r="G4" s="4"/>
      <c r="H4" s="4"/>
      <c r="I4" s="4"/>
    </row>
    <row r="5" spans="1:9" ht="18.75" customHeight="1" x14ac:dyDescent="0.4">
      <c r="A5" s="5" t="s">
        <v>34</v>
      </c>
      <c r="B5" s="35" t="s">
        <v>0</v>
      </c>
      <c r="C5" s="50"/>
      <c r="D5" s="31">
        <f>VLOOKUP(E1,DATA!$A$2:$BK$43,2,FALSE)</f>
        <v>8.4153751421448622</v>
      </c>
      <c r="E5" s="30">
        <f>VLOOKUP(E1,DATA!$A$2:$BK$43,33,FALSE)</f>
        <v>2.1357686702891461</v>
      </c>
      <c r="F5" s="9" t="str">
        <f>IF(C5="","ー",IF(AND(C5&gt;=3,C5&lt;=12),50+10*(C5-D5)/E5,"Error"))</f>
        <v>ー</v>
      </c>
      <c r="G5" s="6" t="str">
        <f>IF(C5="","ー",IF(AND(C5&gt;=3,C5&lt;=12),(C5-D5)/E5,"Error"))</f>
        <v>ー</v>
      </c>
      <c r="H5" s="15" t="str">
        <f>IF(F5="ー","ー",IF(F5="Error","Error",100-F5))</f>
        <v>ー</v>
      </c>
      <c r="I5" s="16" t="str">
        <f>IF(G5="ー","ー",IF(G5="Error","Error",-G5))</f>
        <v>ー</v>
      </c>
    </row>
    <row r="6" spans="1:9" x14ac:dyDescent="0.4">
      <c r="A6" s="5" t="s">
        <v>20</v>
      </c>
      <c r="B6" s="35" t="s">
        <v>0</v>
      </c>
      <c r="C6" s="51"/>
      <c r="D6" s="31">
        <f>VLOOKUP(E1,DATA!$A$2:$BK$43,3,FALSE)</f>
        <v>8.6272299900325979</v>
      </c>
      <c r="E6" s="30">
        <f>VLOOKUP(E1,DATA!$A$2:$BK$43,34,FALSE)</f>
        <v>1.9003489926993467</v>
      </c>
      <c r="F6" s="9" t="str">
        <f>IF(C6="","ー",IF(AND(C6&gt;=3,C6&lt;=12),50+10*(C6-D6)/E6,"Error"))</f>
        <v>ー</v>
      </c>
      <c r="G6" s="6" t="str">
        <f>IF(C6="","ー",IF(AND(C6&gt;=3,C6&lt;=12),(C6-D6)/E6,"Error"))</f>
        <v>ー</v>
      </c>
      <c r="H6" s="15" t="str">
        <f>IF(F6="ー","ー",IF(F6="Error","Error",100-F6))</f>
        <v>ー</v>
      </c>
      <c r="I6" s="16" t="str">
        <f>IF(G6="ー","ー",IF(G6="Error","Error",-G6))</f>
        <v>ー</v>
      </c>
    </row>
    <row r="7" spans="1:9" x14ac:dyDescent="0.4">
      <c r="A7" s="5" t="s">
        <v>36</v>
      </c>
      <c r="B7" s="35" t="s">
        <v>1</v>
      </c>
      <c r="C7" s="51"/>
      <c r="D7" s="31">
        <f>VLOOKUP(E1,DATA!$A$2:$BK$43,4,FALSE)</f>
        <v>2.2427217361295093</v>
      </c>
      <c r="E7" s="30">
        <f>VLOOKUP(E1,DATA!$A$2:$BK$43,35,FALSE)</f>
        <v>1.0264111233438635</v>
      </c>
      <c r="F7" s="9" t="str">
        <f>IF(C7="","ー",IF(AND(C7&gt;=1,C7&lt;=4),50+10*(C7-D7)/E7,"Error"))</f>
        <v>ー</v>
      </c>
      <c r="G7" s="6" t="str">
        <f>IF(C7="","ー",IF(AND(C7&gt;=1,C7&lt;=4),(C7-D7)/E7,"Error"))</f>
        <v>ー</v>
      </c>
      <c r="H7" s="15" t="str">
        <f>IF(F7="ー","ー",IF(F7="Error","Error",100-F7))</f>
        <v>ー</v>
      </c>
      <c r="I7" s="16" t="str">
        <f>IF(G7="ー","ー",IF(G7="Error","Error",-G7))</f>
        <v>ー</v>
      </c>
    </row>
    <row r="8" spans="1:9" x14ac:dyDescent="0.4">
      <c r="A8" s="5" t="s">
        <v>37</v>
      </c>
      <c r="B8" s="35" t="s">
        <v>0</v>
      </c>
      <c r="C8" s="51"/>
      <c r="D8" s="31">
        <f>VLOOKUP(E1,DATA!$A$2:$BK$43,5,FALSE)</f>
        <v>6.301937880861602</v>
      </c>
      <c r="E8" s="30">
        <f>VLOOKUP(E1,DATA!$A$2:$BK$43,36,FALSE)</f>
        <v>1.9011250276091216</v>
      </c>
      <c r="F8" s="9" t="str">
        <f>IF(C8="","ー",IF(AND(C8&gt;=3,C8&lt;=12),50+10*(C8-D8)/E8,"Error"))</f>
        <v>ー</v>
      </c>
      <c r="G8" s="6" t="str">
        <f>IF(C8="","ー",IF(AND(C8&gt;=3,C8&lt;=12),(C8-D8)/E8,"Error"))</f>
        <v>ー</v>
      </c>
      <c r="H8" s="15" t="str">
        <f>IF(F8="ー","ー",IF(F8="Error","Error",100-F8))</f>
        <v>ー</v>
      </c>
      <c r="I8" s="16" t="str">
        <f>IF(G8="ー","ー",IF(G8="Error","Error",-G8))</f>
        <v>ー</v>
      </c>
    </row>
    <row r="9" spans="1:9" ht="19.5" thickBot="1" x14ac:dyDescent="0.45">
      <c r="A9" s="5" t="s">
        <v>38</v>
      </c>
      <c r="B9" s="35" t="s">
        <v>1</v>
      </c>
      <c r="C9" s="52"/>
      <c r="D9" s="31">
        <f>VLOOKUP(E1,DATA!$A$2:$BK$43,6,FALSE)</f>
        <v>2.1239763195691386</v>
      </c>
      <c r="E9" s="30">
        <f>VLOOKUP(E1,DATA!$A$2:$BK$43,37,FALSE)</f>
        <v>0.93889749846099202</v>
      </c>
      <c r="F9" s="9" t="str">
        <f>IF(C9="","ー",IF(AND(C9&gt;=1,C9&lt;=4),50+10*(C9-D9)/E9,"Error"))</f>
        <v>ー</v>
      </c>
      <c r="G9" s="6" t="str">
        <f>IF(C9="","ー",IF(AND(C9&gt;=1,C9&lt;=4),(C9-D9)/E9,"Error"))</f>
        <v>ー</v>
      </c>
      <c r="H9" s="15" t="str">
        <f>IF(F9="ー","ー",IF(F9="Error","Error",100-F9))</f>
        <v>ー</v>
      </c>
      <c r="I9" s="16" t="str">
        <f>IF(G9="ー","ー",IF(G9="Error","Error",-G9))</f>
        <v>ー</v>
      </c>
    </row>
    <row r="10" spans="1:9" ht="19.5" thickBot="1" x14ac:dyDescent="0.45">
      <c r="A10" s="10" t="s">
        <v>6</v>
      </c>
      <c r="B10" s="36" t="s">
        <v>3</v>
      </c>
      <c r="C10" s="22" t="str">
        <f>IF(AND(ISNUMBER(C5),ISNUMBER(C6),ISNUMBER(C7),ISNUMBER(C8),ISNUMBER(C9),C5&gt;=3,C5&lt;=12,C6&gt;=3,C6&lt;=12,C7&gt;=1,C7&lt;=4,C8&gt;=3,C8&lt;=12,C9&gt;=1,C9&lt;=4),SUM(C5:C9),"ー")</f>
        <v>ー</v>
      </c>
      <c r="D10" s="33">
        <f>VLOOKUP(E1,DATA!$A$2:$BK$43,7,FALSE)</f>
        <v>27.71124106873771</v>
      </c>
      <c r="E10" s="33">
        <f>VLOOKUP(E1,DATA!$A$2:$BK$43,38,FALSE)</f>
        <v>5.2060605970310867</v>
      </c>
      <c r="F10" s="29" t="str">
        <f>IF(C10="ー","ー",50+10*(C10-D10)/E10)</f>
        <v>ー</v>
      </c>
      <c r="G10" s="11" t="str">
        <f>IF(C10="ー","ー",(C10-D10)/E10)</f>
        <v>ー</v>
      </c>
      <c r="H10" s="17" t="str">
        <f>IF(F10="ー","ー",100-F10)</f>
        <v>ー</v>
      </c>
      <c r="I10" s="18" t="str">
        <f>IF(G10="ー","ー",-G10)</f>
        <v>ー</v>
      </c>
    </row>
    <row r="11" spans="1:9" x14ac:dyDescent="0.4">
      <c r="A11" s="5" t="s">
        <v>35</v>
      </c>
      <c r="B11" s="35" t="s">
        <v>0</v>
      </c>
      <c r="C11" s="50"/>
      <c r="D11" s="31">
        <f>VLOOKUP(E1,DATA!$A$2:$BK$43,8,FALSE)</f>
        <v>7.7878532011957153</v>
      </c>
      <c r="E11" s="30">
        <f>VLOOKUP(E1,DATA!$A$2:$BK$43,39,FALSE)</f>
        <v>1.9979160016120201</v>
      </c>
      <c r="F11" s="9" t="str">
        <f>IF(C11="","ー",IF(AND(C11&gt;=3,C11&lt;=12),50+10*(C11-D11)/E11,"Error"))</f>
        <v>ー</v>
      </c>
      <c r="G11" s="6" t="str">
        <f>IF(C11="","ー",IF(AND(C11&gt;=3,C11&lt;=12),(C11-D11)/E11,"Error"))</f>
        <v>ー</v>
      </c>
      <c r="H11" s="15" t="str">
        <f>F11</f>
        <v>ー</v>
      </c>
      <c r="I11" s="16" t="str">
        <f>G11</f>
        <v>ー</v>
      </c>
    </row>
    <row r="12" spans="1:9" x14ac:dyDescent="0.4">
      <c r="A12" s="5" t="s">
        <v>39</v>
      </c>
      <c r="B12" s="35" t="s">
        <v>1</v>
      </c>
      <c r="C12" s="51"/>
      <c r="D12" s="31">
        <f>VLOOKUP(E1,DATA!$A$2:$BK$43,9,FALSE)</f>
        <v>2.882264301523787</v>
      </c>
      <c r="E12" s="30">
        <f>VLOOKUP(E1,DATA!$A$2:$BK$43,40,FALSE)</f>
        <v>0.78191153176156869</v>
      </c>
      <c r="F12" s="9" t="str">
        <f>IF(C12="","ー",IF(AND(C12&gt;=1,C12&lt;=4),50+10*(C12-D12)/E12,"Error"))</f>
        <v>ー</v>
      </c>
      <c r="G12" s="6" t="str">
        <f>IF(C12="","ー",IF(AND(C12&gt;=1,C12&lt;=4),(C12-D12)/E12,"Error"))</f>
        <v>ー</v>
      </c>
      <c r="H12" s="15" t="str">
        <f t="shared" ref="H12:I15" si="0">F12</f>
        <v>ー</v>
      </c>
      <c r="I12" s="16" t="str">
        <f t="shared" si="0"/>
        <v>ー</v>
      </c>
    </row>
    <row r="13" spans="1:9" x14ac:dyDescent="0.4">
      <c r="A13" s="5" t="s">
        <v>40</v>
      </c>
      <c r="B13" s="35" t="s">
        <v>1</v>
      </c>
      <c r="C13" s="51"/>
      <c r="D13" s="31">
        <f>VLOOKUP(E1,DATA!$A$2:$BK$43,10,FALSE)</f>
        <v>2.843380957065138</v>
      </c>
      <c r="E13" s="30">
        <f>VLOOKUP(E1,DATA!$A$2:$BK$43,41,FALSE)</f>
        <v>0.75363363387911542</v>
      </c>
      <c r="F13" s="9" t="str">
        <f>IF(C13="","ー",IF(AND(C13&gt;=1,C13&lt;=4),50+10*(C13-D13)/E13,"Error"))</f>
        <v>ー</v>
      </c>
      <c r="G13" s="6" t="str">
        <f>IF(C13="","ー",IF(AND(C13&gt;=1,C13&lt;=4),(C13-D13)/E13,"Error"))</f>
        <v>ー</v>
      </c>
      <c r="H13" s="15" t="str">
        <f t="shared" si="0"/>
        <v>ー</v>
      </c>
      <c r="I13" s="16" t="str">
        <f t="shared" si="0"/>
        <v>ー</v>
      </c>
    </row>
    <row r="14" spans="1:9" ht="19.5" thickBot="1" x14ac:dyDescent="0.45">
      <c r="A14" s="5" t="s">
        <v>41</v>
      </c>
      <c r="B14" s="35" t="s">
        <v>1</v>
      </c>
      <c r="C14" s="52"/>
      <c r="D14" s="31">
        <f>VLOOKUP(E1,DATA!$A$2:$BK$43,11,FALSE)</f>
        <v>2.8319793199495589</v>
      </c>
      <c r="E14" s="30">
        <f>VLOOKUP(E1,DATA!$A$2:$BK$43,42,FALSE)</f>
        <v>0.80967254959664348</v>
      </c>
      <c r="F14" s="9" t="str">
        <f>IF(C14="","ー",IF(AND(C14&gt;=1,C14&lt;=4),50+10*(C14-D14)/E14,"Error"))</f>
        <v>ー</v>
      </c>
      <c r="G14" s="6" t="str">
        <f>IF(C14="","ー",IF(AND(C14&gt;=1,C14&lt;=4),(C14-D14)/E14,"Error"))</f>
        <v>ー</v>
      </c>
      <c r="H14" s="15" t="str">
        <f t="shared" si="0"/>
        <v>ー</v>
      </c>
      <c r="I14" s="16" t="str">
        <f t="shared" si="0"/>
        <v>ー</v>
      </c>
    </row>
    <row r="15" spans="1:9" x14ac:dyDescent="0.4">
      <c r="A15" s="10" t="s">
        <v>23</v>
      </c>
      <c r="B15" s="36" t="s">
        <v>2</v>
      </c>
      <c r="C15" s="23" t="str">
        <f>IF(AND(ISNUMBER(C11),ISNUMBER(C12),ISNUMBER(C13),ISNUMBER(C14),C11&gt;=3,C11&lt;=12,C12&gt;=1,C12&lt;=4,C13&gt;=1,C13&lt;=4,C14&gt;=1,C14&lt;=4),SUM(C11:C14),"ー")</f>
        <v>ー</v>
      </c>
      <c r="D15" s="33">
        <f>VLOOKUP(E1,DATA!$A$2:$BK$43,12,FALSE)</f>
        <v>16.3454777797342</v>
      </c>
      <c r="E15" s="33">
        <f>VLOOKUP(E1,DATA!$A$2:$BK$43,43,FALSE)</f>
        <v>3.2264061447232466</v>
      </c>
      <c r="F15" s="29" t="str">
        <f>IF(C15="ー","ー",50+10*(C15-D15)/E15)</f>
        <v>ー</v>
      </c>
      <c r="G15" s="11" t="str">
        <f>IF(C15="ー","ー",(C15-D15)/E15)</f>
        <v>ー</v>
      </c>
      <c r="H15" s="17" t="str">
        <f t="shared" si="0"/>
        <v>ー</v>
      </c>
      <c r="I15" s="18" t="str">
        <f t="shared" si="0"/>
        <v>ー</v>
      </c>
    </row>
    <row r="16" spans="1:9" ht="19.5" thickBot="1" x14ac:dyDescent="0.45">
      <c r="A16" s="3" t="s">
        <v>19</v>
      </c>
      <c r="B16" s="37"/>
      <c r="C16" s="38"/>
      <c r="D16" s="39"/>
      <c r="E16" s="39"/>
      <c r="F16" s="9"/>
      <c r="G16" s="6"/>
      <c r="H16" s="15"/>
      <c r="I16" s="16"/>
    </row>
    <row r="17" spans="1:9" x14ac:dyDescent="0.4">
      <c r="A17" s="5" t="s">
        <v>42</v>
      </c>
      <c r="B17" s="35" t="s">
        <v>0</v>
      </c>
      <c r="C17" s="50"/>
      <c r="D17" s="31">
        <f>VLOOKUP(E1,DATA!$A$2:$BK$43,13,FALSE)</f>
        <v>6.5668111684830066</v>
      </c>
      <c r="E17" s="30">
        <f>VLOOKUP(E1,DATA!$A$2:$BK$43,44,FALSE)</f>
        <v>2.3146940353828183</v>
      </c>
      <c r="F17" s="9" t="str">
        <f>IF(C17="","ー",IF(AND(C17&gt;=3,C17&lt;=12),50+10*(C17-D17)/E17,"Error"))</f>
        <v>ー</v>
      </c>
      <c r="G17" s="6" t="str">
        <f>IF(C17="","ー",IF(AND(C17&gt;=3,C17&lt;=12),(C17-D17)/E17,"Error"))</f>
        <v>ー</v>
      </c>
      <c r="H17" s="15" t="str">
        <f>F17</f>
        <v>ー</v>
      </c>
      <c r="I17" s="16" t="str">
        <f>G17</f>
        <v>ー</v>
      </c>
    </row>
    <row r="18" spans="1:9" x14ac:dyDescent="0.4">
      <c r="A18" s="5" t="s">
        <v>43</v>
      </c>
      <c r="B18" s="35" t="s">
        <v>0</v>
      </c>
      <c r="C18" s="51"/>
      <c r="D18" s="31">
        <f>VLOOKUP(E1,DATA!$A$2:$BK$43,14,FALSE)</f>
        <v>6.3221883959965162</v>
      </c>
      <c r="E18" s="30">
        <f>VLOOKUP(E1,DATA!$A$2:$BK$43,45,FALSE)</f>
        <v>2.3799616905627361</v>
      </c>
      <c r="F18" s="9" t="str">
        <f>IF(C18="","ー",IF(AND(C18&gt;=3,C18&lt;=12),50+10*(C18-D18)/E18,"Error"))</f>
        <v>ー</v>
      </c>
      <c r="G18" s="6" t="str">
        <f>IF(C18="","ー",IF(AND(C18&gt;=3,C18&lt;=12),(C18-D18)/E18,"Error"))</f>
        <v>ー</v>
      </c>
      <c r="H18" s="15" t="str">
        <f t="shared" ref="H18:H25" si="1">IF(F18="ー","ー",IF(F18="Error","Error",100-F18))</f>
        <v>ー</v>
      </c>
      <c r="I18" s="16" t="str">
        <f t="shared" ref="I18:I25" si="2">IF(G18="ー","ー",IF(G18="Error","Error",-G18))</f>
        <v>ー</v>
      </c>
    </row>
    <row r="19" spans="1:9" x14ac:dyDescent="0.4">
      <c r="A19" s="5" t="s">
        <v>49</v>
      </c>
      <c r="B19" s="35" t="s">
        <v>0</v>
      </c>
      <c r="C19" s="51"/>
      <c r="D19" s="31">
        <f>VLOOKUP(E1,DATA!$A$2:$BK$43,15,FALSE)</f>
        <v>6.7256388609758773</v>
      </c>
      <c r="E19" s="30">
        <f>VLOOKUP(E1,DATA!$A$2:$BK$43,46,FALSE)</f>
        <v>2.4886325049094449</v>
      </c>
      <c r="F19" s="9" t="str">
        <f>IF(C19="","ー",IF(AND(C19&gt;=3,C19&lt;=12),50+10*(C19-D19)/E19,"Error"))</f>
        <v>ー</v>
      </c>
      <c r="G19" s="6" t="str">
        <f>IF(C19="","ー",IF(AND(C19&gt;=3,C19&lt;=12),(C19-D19)/E19,"Error"))</f>
        <v>ー</v>
      </c>
      <c r="H19" s="15" t="str">
        <f t="shared" si="1"/>
        <v>ー</v>
      </c>
      <c r="I19" s="16" t="str">
        <f t="shared" si="2"/>
        <v>ー</v>
      </c>
    </row>
    <row r="20" spans="1:9" x14ac:dyDescent="0.4">
      <c r="A20" s="5" t="s">
        <v>50</v>
      </c>
      <c r="B20" s="35" t="s">
        <v>0</v>
      </c>
      <c r="C20" s="51"/>
      <c r="D20" s="31">
        <f>VLOOKUP(E1,DATA!$A$2:$BK$43,16,FALSE)</f>
        <v>6.1745366641089845</v>
      </c>
      <c r="E20" s="30">
        <f>VLOOKUP(E1,DATA!$A$2:$BK$43,47,FALSE)</f>
        <v>2.2917679046444874</v>
      </c>
      <c r="F20" s="9" t="str">
        <f>IF(C20="","ー",IF(AND(C20&gt;=3,C20&lt;=12),50+10*(C20-D20)/E20,"Error"))</f>
        <v>ー</v>
      </c>
      <c r="G20" s="6" t="str">
        <f>IF(C20="","ー",IF(AND(C20&gt;=3,C20&lt;=12),(C20-D20)/E20,"Error"))</f>
        <v>ー</v>
      </c>
      <c r="H20" s="15" t="str">
        <f t="shared" si="1"/>
        <v>ー</v>
      </c>
      <c r="I20" s="16" t="str">
        <f t="shared" si="2"/>
        <v>ー</v>
      </c>
    </row>
    <row r="21" spans="1:9" x14ac:dyDescent="0.4">
      <c r="A21" s="5" t="s">
        <v>7</v>
      </c>
      <c r="B21" s="35" t="s">
        <v>2</v>
      </c>
      <c r="C21" s="51"/>
      <c r="D21" s="31">
        <f>VLOOKUP(E1,DATA!$A$2:$BK$43,17,FALSE)</f>
        <v>10.461686862450673</v>
      </c>
      <c r="E21" s="30">
        <f>VLOOKUP(E1,DATA!$A$2:$BK$43,48,FALSE)</f>
        <v>3.9178016767564241</v>
      </c>
      <c r="F21" s="9" t="str">
        <f>IF(C21="","ー",IF(AND(C21&gt;=6,C21&lt;=24),50+10*(C21-D21)/E21,"Error"))</f>
        <v>ー</v>
      </c>
      <c r="G21" s="6" t="str">
        <f>IF(C21="","ー",IF(AND(C21&gt;=6,C21&lt;=24),(C21-D21)/E21,"Error"))</f>
        <v>ー</v>
      </c>
      <c r="H21" s="15" t="str">
        <f t="shared" si="1"/>
        <v>ー</v>
      </c>
      <c r="I21" s="16" t="str">
        <f t="shared" si="2"/>
        <v>ー</v>
      </c>
    </row>
    <row r="22" spans="1:9" x14ac:dyDescent="0.4">
      <c r="A22" s="5" t="s">
        <v>44</v>
      </c>
      <c r="B22" s="35" t="s">
        <v>0</v>
      </c>
      <c r="C22" s="51"/>
      <c r="D22" s="31">
        <f>VLOOKUP(E1,DATA!$A$2:$BK$43,18,FALSE)</f>
        <v>5.7482453693461917</v>
      </c>
      <c r="E22" s="30">
        <f>VLOOKUP(E1,DATA!$A$2:$BK$43,49,FALSE)</f>
        <v>2.3407590234429803</v>
      </c>
      <c r="F22" s="9" t="str">
        <f>IF(C22="","ー",IF(AND(C22&gt;=3,C22&lt;=12),50+10*(C22-D22)/E22,"Error"))</f>
        <v>ー</v>
      </c>
      <c r="G22" s="6" t="str">
        <f>IF(C22="","ー",IF(AND(C22&gt;=3,C22&lt;=12),(C22-D22)/E22,"Error"))</f>
        <v>ー</v>
      </c>
      <c r="H22" s="15" t="str">
        <f t="shared" si="1"/>
        <v>ー</v>
      </c>
      <c r="I22" s="16" t="str">
        <f t="shared" si="2"/>
        <v>ー</v>
      </c>
    </row>
    <row r="23" spans="1:9" x14ac:dyDescent="0.4">
      <c r="A23" s="5" t="s">
        <v>8</v>
      </c>
      <c r="B23" s="35" t="s">
        <v>3</v>
      </c>
      <c r="C23" s="51"/>
      <c r="D23" s="31">
        <f>VLOOKUP(E1,DATA!$A$2:$BK$43,19,FALSE)</f>
        <v>19.687776472262804</v>
      </c>
      <c r="E23" s="30">
        <f>VLOOKUP(E1,DATA!$A$2:$BK$43,50,FALSE)</f>
        <v>5.9834603345149517</v>
      </c>
      <c r="F23" s="9" t="str">
        <f>IF(C23="","ー",IF(AND(C23&gt;=11,C23&lt;=44),50+10*(C23-D23)/E23,"Error"))</f>
        <v>ー</v>
      </c>
      <c r="G23" s="6" t="str">
        <f>IF(C23="","ー",IF(AND(C23&gt;=11,C23&lt;=44),(C23-D23)/E23,"Error"))</f>
        <v>ー</v>
      </c>
      <c r="H23" s="15" t="str">
        <f t="shared" si="1"/>
        <v>ー</v>
      </c>
      <c r="I23" s="16" t="str">
        <f t="shared" si="2"/>
        <v>ー</v>
      </c>
    </row>
    <row r="24" spans="1:9" x14ac:dyDescent="0.4">
      <c r="A24" s="5" t="s">
        <v>45</v>
      </c>
      <c r="B24" s="35" t="s">
        <v>1</v>
      </c>
      <c r="C24" s="51"/>
      <c r="D24" s="31">
        <f>VLOOKUP(E1,DATA!$A$2:$BK$43,20,FALSE)</f>
        <v>1.3563424458433864</v>
      </c>
      <c r="E24" s="30">
        <f>VLOOKUP(E1,DATA!$A$2:$BK$43,51,FALSE)</f>
        <v>0.6385601149810558</v>
      </c>
      <c r="F24" s="9" t="str">
        <f>IF(C24="","ー",IF(AND(C24&gt;=1,C24&lt;=4),50+10*(C24-D24)/E24,"Error"))</f>
        <v>ー</v>
      </c>
      <c r="G24" s="6" t="str">
        <f>IF(C24="","ー",IF(AND(C24&gt;=1,C24&lt;=4),(C24-D24)/E24,"Error"))</f>
        <v>ー</v>
      </c>
      <c r="H24" s="15" t="str">
        <f t="shared" si="1"/>
        <v>ー</v>
      </c>
      <c r="I24" s="16" t="str">
        <f t="shared" si="2"/>
        <v>ー</v>
      </c>
    </row>
    <row r="25" spans="1:9" ht="19.5" thickBot="1" x14ac:dyDescent="0.45">
      <c r="A25" s="5" t="s">
        <v>46</v>
      </c>
      <c r="B25" s="35" t="s">
        <v>1</v>
      </c>
      <c r="C25" s="52"/>
      <c r="D25" s="31">
        <f>VLOOKUP(E1,DATA!$A$2:$BK$43,21,FALSE)</f>
        <v>1.7768495585940753</v>
      </c>
      <c r="E25" s="30">
        <f>VLOOKUP(E1,DATA!$A$2:$BK$43,52,FALSE)</f>
        <v>0.88696319294292769</v>
      </c>
      <c r="F25" s="9" t="str">
        <f>IF(C25="","ー",IF(AND(C25&gt;=1,C25&lt;=4),50+10*(C25-D25)/E25,"Error"))</f>
        <v>ー</v>
      </c>
      <c r="G25" s="6" t="str">
        <f>IF(C25="","ー",IF(AND(C25&gt;=1,C25&lt;=4),(C25-D25)/E25,"Error"))</f>
        <v>ー</v>
      </c>
      <c r="H25" s="15" t="str">
        <f t="shared" si="1"/>
        <v>ー</v>
      </c>
      <c r="I25" s="16" t="str">
        <f t="shared" si="2"/>
        <v>ー</v>
      </c>
    </row>
    <row r="26" spans="1:9" x14ac:dyDescent="0.4">
      <c r="A26" s="10" t="s">
        <v>24</v>
      </c>
      <c r="B26" s="36" t="s">
        <v>12</v>
      </c>
      <c r="C26" s="23" t="str">
        <f>IF(AND(ISNUMBER(C17),ISNUMBER(C18),ISNUMBER(C19),ISNUMBER(C20),ISNUMBER(C21),C17&gt;=3,C17&lt;=12,C18&gt;=3,C18&lt;=12,C19&gt;=3,C19&lt;=12,C20&gt;=3,C20&lt;=12,C21&gt;=6,C21&lt;=24),15-C17+SUM(C18:C21),"ー")</f>
        <v>ー</v>
      </c>
      <c r="D26" s="33">
        <f>VLOOKUP(E1,DATA!$A$2:$BK$43,22,FALSE)</f>
        <v>38.117239615049044</v>
      </c>
      <c r="E26" s="33">
        <f>VLOOKUP(E1,DATA!$A$2:$BK$43,53,FALSE)</f>
        <v>10.636612806435604</v>
      </c>
      <c r="F26" s="29" t="str">
        <f>IF(C26="ー","ー",50+10*(C26-D26)/E26)</f>
        <v>ー</v>
      </c>
      <c r="G26" s="11" t="str">
        <f>IF(C26="ー","ー",(C26-D26)/E26)</f>
        <v>ー</v>
      </c>
      <c r="H26" s="17" t="str">
        <f>IF(F26="ー","ー",100-F26)</f>
        <v>ー</v>
      </c>
      <c r="I26" s="18" t="str">
        <f>IF(G26="ー","ー",-G26)</f>
        <v>ー</v>
      </c>
    </row>
    <row r="27" spans="1:9" ht="19.5" thickBot="1" x14ac:dyDescent="0.45">
      <c r="A27" s="3" t="s">
        <v>21</v>
      </c>
      <c r="B27" s="37"/>
      <c r="C27" s="24"/>
      <c r="D27" s="30"/>
      <c r="E27" s="30"/>
      <c r="F27" s="9"/>
      <c r="G27" s="6"/>
      <c r="H27" s="15"/>
      <c r="I27" s="16"/>
    </row>
    <row r="28" spans="1:9" x14ac:dyDescent="0.4">
      <c r="A28" s="5" t="s">
        <v>47</v>
      </c>
      <c r="B28" s="35" t="s">
        <v>0</v>
      </c>
      <c r="C28" s="50"/>
      <c r="D28" s="31">
        <f>VLOOKUP(E1,DATA!$A$2:$BK$43,23,FALSE)</f>
        <v>7.6016588623290566</v>
      </c>
      <c r="E28" s="30">
        <f>VLOOKUP(E1,DATA!$A$2:$BK$43,54,FALSE)</f>
        <v>2.2502065026650491</v>
      </c>
      <c r="F28" s="9" t="str">
        <f>IF(C28="","ー",IF(AND(C28&gt;=3,C28&lt;=12),50+10*(C28-D28)/E28,"Error"))</f>
        <v>ー</v>
      </c>
      <c r="G28" s="6" t="str">
        <f>IF(C28="","ー",IF(AND(C28&gt;=3,C28&lt;=12),(C28-D28)/E28,"Error"))</f>
        <v>ー</v>
      </c>
      <c r="H28" s="15" t="str">
        <f>F28</f>
        <v>ー</v>
      </c>
      <c r="I28" s="16" t="str">
        <f>G28</f>
        <v>ー</v>
      </c>
    </row>
    <row r="29" spans="1:9" x14ac:dyDescent="0.4">
      <c r="A29" s="5" t="s">
        <v>48</v>
      </c>
      <c r="B29" s="35" t="s">
        <v>0</v>
      </c>
      <c r="C29" s="51"/>
      <c r="D29" s="31">
        <f>VLOOKUP(E1,DATA!$A$2:$BK$43,24,FALSE)</f>
        <v>8.0656956445819858</v>
      </c>
      <c r="E29" s="30">
        <f>VLOOKUP(E1,DATA!$A$2:$BK$43,55,FALSE)</f>
        <v>2.1135621004086884</v>
      </c>
      <c r="F29" s="9" t="str">
        <f>IF(C29="","ー",IF(AND(C29&gt;=3,C29&lt;=12),50+10*(C29-D29)/E29,"Error"))</f>
        <v>ー</v>
      </c>
      <c r="G29" s="6" t="str">
        <f>IF(C29="","ー",IF(AND(C29&gt;=3,C29&lt;=12),(C29-D29)/E29,"Error"))</f>
        <v>ー</v>
      </c>
      <c r="H29" s="15" t="str">
        <f t="shared" ref="H29:I33" si="3">F29</f>
        <v>ー</v>
      </c>
      <c r="I29" s="16" t="str">
        <f t="shared" si="3"/>
        <v>ー</v>
      </c>
    </row>
    <row r="30" spans="1:9" x14ac:dyDescent="0.4">
      <c r="A30" s="5" t="s">
        <v>9</v>
      </c>
      <c r="B30" s="35" t="s">
        <v>0</v>
      </c>
      <c r="C30" s="51"/>
      <c r="D30" s="31">
        <f>VLOOKUP(E1,DATA!$A$2:$BK$43,25,FALSE)</f>
        <v>9.5831926715776952</v>
      </c>
      <c r="E30" s="30">
        <f>VLOOKUP(E1,DATA!$A$2:$BK$43,56,FALSE)</f>
        <v>2.2184007241830774</v>
      </c>
      <c r="F30" s="9" t="str">
        <f>IF(C30="","ー",IF(AND(C30&gt;=3,C30&lt;=12),50+10*(C30-D30)/E30,"Error"))</f>
        <v>ー</v>
      </c>
      <c r="G30" s="6" t="str">
        <f>IF(C30="","ー",IF(AND(C30&gt;=3,C30&lt;=12),(C30-D30)/E30,"Error"))</f>
        <v>ー</v>
      </c>
      <c r="H30" s="15" t="str">
        <f t="shared" si="3"/>
        <v>ー</v>
      </c>
      <c r="I30" s="16" t="str">
        <f t="shared" si="3"/>
        <v>ー</v>
      </c>
    </row>
    <row r="31" spans="1:9" ht="19.5" thickBot="1" x14ac:dyDescent="0.45">
      <c r="A31" s="5" t="s">
        <v>10</v>
      </c>
      <c r="B31" s="35" t="s">
        <v>14</v>
      </c>
      <c r="C31" s="52"/>
      <c r="D31" s="31">
        <f>VLOOKUP(E1,DATA!$A$2:$BK$43,26,FALSE)</f>
        <v>5.7749042807164024</v>
      </c>
      <c r="E31" s="30">
        <f>VLOOKUP(E1,DATA!$A$2:$BK$43,57,FALSE)</f>
        <v>1.2943329748795429</v>
      </c>
      <c r="F31" s="9" t="str">
        <f>IF(C31="","ー",IF(AND(C31&gt;=2,C31&lt;=8),50+10*(C31-D31)/E31,"Error"))</f>
        <v>ー</v>
      </c>
      <c r="G31" s="6" t="str">
        <f>IF(C31="","ー",IF(AND(C31&gt;=2,C31&lt;=8),(C31-D31)/E31,"Error"))</f>
        <v>ー</v>
      </c>
      <c r="H31" s="15" t="str">
        <f t="shared" si="3"/>
        <v>ー</v>
      </c>
      <c r="I31" s="16" t="str">
        <f t="shared" si="3"/>
        <v>ー</v>
      </c>
    </row>
    <row r="32" spans="1:9" x14ac:dyDescent="0.4">
      <c r="A32" s="10" t="s">
        <v>25</v>
      </c>
      <c r="B32" s="36" t="s">
        <v>13</v>
      </c>
      <c r="C32" s="23" t="str">
        <f>IF(AND(ISNUMBER(C28),ISNUMBER(C29),ISNUMBER(C30),C28&gt;=3,C28&lt;=12,C29&gt;=3,C29&lt;=12,C30&gt;=3,C30&lt;=12),SUM(C28:C30),"ー")</f>
        <v>ー</v>
      </c>
      <c r="D32" s="33">
        <f>VLOOKUP(E1,DATA!$A$2:$BK$43,27,FALSE)</f>
        <v>25.250547178488738</v>
      </c>
      <c r="E32" s="33">
        <f>VLOOKUP(E1,DATA!$A$2:$BK$43,58,FALSE)</f>
        <v>5.2548430815235028</v>
      </c>
      <c r="F32" s="29" t="str">
        <f>IF(C32="ー","ー",50+10*(C32-D32)/E32)</f>
        <v>ー</v>
      </c>
      <c r="G32" s="11" t="str">
        <f>IF(C32="ー","ー",(C32-D32)/E32)</f>
        <v>ー</v>
      </c>
      <c r="H32" s="17" t="str">
        <f t="shared" si="3"/>
        <v>ー</v>
      </c>
      <c r="I32" s="18" t="str">
        <f t="shared" si="3"/>
        <v>ー</v>
      </c>
    </row>
    <row r="33" spans="1:9" x14ac:dyDescent="0.4">
      <c r="A33" s="10" t="s">
        <v>26</v>
      </c>
      <c r="B33" s="36" t="s">
        <v>2</v>
      </c>
      <c r="C33" s="25" t="str">
        <f>IF(AND(ISNUMBER(C28),ISNUMBER(C29),C28&gt;=3,C28&lt;=12,C29&gt;=3,C29&lt;=12),SUM(C28:C29),"ー")</f>
        <v>ー</v>
      </c>
      <c r="D33" s="33">
        <f>VLOOKUP(E1,DATA!$A$2:$BK$43,28,FALSE)</f>
        <v>15.702613107208023</v>
      </c>
      <c r="E33" s="33">
        <f>VLOOKUP(E1,DATA!$A$2:$BK$43,59,FALSE)</f>
        <v>3.9452108531171897</v>
      </c>
      <c r="F33" s="29" t="str">
        <f>IF(C33="ー","ー",50+10*(C33-D33)/E33)</f>
        <v>ー</v>
      </c>
      <c r="G33" s="11" t="str">
        <f>IF(C33="ー","ー",(C33-D33)/E33)</f>
        <v>ー</v>
      </c>
      <c r="H33" s="17" t="str">
        <f t="shared" si="3"/>
        <v>ー</v>
      </c>
      <c r="I33" s="18" t="str">
        <f t="shared" si="3"/>
        <v>ー</v>
      </c>
    </row>
    <row r="34" spans="1:9" x14ac:dyDescent="0.4">
      <c r="A34" s="3" t="s">
        <v>27</v>
      </c>
      <c r="B34" s="37"/>
      <c r="C34" s="26"/>
      <c r="D34" s="30"/>
      <c r="E34" s="30"/>
      <c r="F34" s="9"/>
      <c r="G34" s="6"/>
      <c r="H34" s="15"/>
      <c r="I34" s="16"/>
    </row>
    <row r="35" spans="1:9" x14ac:dyDescent="0.4">
      <c r="A35" s="12" t="s">
        <v>5</v>
      </c>
      <c r="B35" s="36" t="s">
        <v>15</v>
      </c>
      <c r="C35" s="25" t="str">
        <f>IF(AND(ISNUMBER(C17),ISNUMBER(C18),ISNUMBER(C19),ISNUMBER(C20),ISNUMBER(C21),ISNUMBER(C23),C17&gt;=3,C17&lt;=12,C18&gt;=3,C18&lt;=12,C19&gt;=3,C19&lt;=12,C20&gt;=3,C20&lt;=12,C21&gt;=6,C21&lt;=24,C23&gt;=11,C23&lt;=44),15-C17+SUM(C18:C21)+C23,"ー")</f>
        <v>ー</v>
      </c>
      <c r="D35" s="33">
        <f>VLOOKUP(E1,DATA!$A$2:$BK$43,29,FALSE)</f>
        <v>57.805016087311849</v>
      </c>
      <c r="E35" s="33">
        <f>VLOOKUP(E1,DATA!$A$2:$BK$43,60,FALSE)</f>
        <v>15.238920714285396</v>
      </c>
      <c r="F35" s="29" t="str">
        <f>IF(C35="ー","ー",50+10*(C35-D35)/E35)</f>
        <v>ー</v>
      </c>
      <c r="G35" s="11" t="str">
        <f>IF(C35="ー","ー",(C35-D35)/E35)</f>
        <v>ー</v>
      </c>
      <c r="H35" s="17" t="str">
        <f>IF(F35="ー","ー",100-F35)</f>
        <v>ー</v>
      </c>
      <c r="I35" s="18" t="str">
        <f>IF(G35="ー","ー",-G35)</f>
        <v>ー</v>
      </c>
    </row>
    <row r="36" spans="1:9" x14ac:dyDescent="0.4">
      <c r="A36" s="12" t="s">
        <v>11</v>
      </c>
      <c r="B36" s="36" t="s">
        <v>16</v>
      </c>
      <c r="C36" s="25" t="str">
        <f>IF(AND(ISNUMBER(C5),ISNUMBER(C6),ISNUMBER(C7),ISNUMBER(C8),ISNUMBER(C9),ISNUMBER(C11),ISNUMBER(C12),ISNUMBER(C13),ISNUMBER(C14),ISNUMBER(C28),ISNUMBER(C29),ISNUMBER(C30),C5&gt;=3,C5&lt;=12,C6&gt;=3,C6&lt;=12,C7&gt;=1,C7&lt;=4,C8&gt;=3,C8&lt;=12,C9&gt;=1,C9&lt;=4,C11&gt;=3,C11&lt;=12,C12&gt;=1,C12&lt;=4,C13&gt;=1,C13&lt;=4,C14&gt;=1,C14&lt;=4,C28&gt;=3,C28&lt;=12,C29&gt;=3,C29&lt;=12,C30&gt;=3,C30&lt;=12),SUM(C5:C9)+30-SUM(C11:C14)+45-SUM(C28:C30),"ー")</f>
        <v>ー</v>
      </c>
      <c r="D36" s="33">
        <f>VLOOKUP(E1,DATA!$A$2:$BK$43,30,FALSE)</f>
        <v>61.115216110514773</v>
      </c>
      <c r="E36" s="33">
        <f>VLOOKUP(E1,DATA!$A$2:$BK$43,61,FALSE)</f>
        <v>10.264039714709588</v>
      </c>
      <c r="F36" s="29" t="str">
        <f>IF(C36="ー","ー",50+10*(C36-D36)/E36)</f>
        <v>ー</v>
      </c>
      <c r="G36" s="11" t="str">
        <f>IF(C36="ー","ー",(C36-D36)/E36)</f>
        <v>ー</v>
      </c>
      <c r="H36" s="17" t="str">
        <f>IF(F36="ー","ー",100-F36)</f>
        <v>ー</v>
      </c>
      <c r="I36" s="18" t="str">
        <f>IF(G36="ー","ー",-G36)</f>
        <v>ー</v>
      </c>
    </row>
    <row r="37" spans="1:9" x14ac:dyDescent="0.4">
      <c r="A37" s="3" t="s">
        <v>28</v>
      </c>
      <c r="B37" s="37"/>
      <c r="C37" s="26"/>
      <c r="D37" s="30"/>
      <c r="E37" s="30"/>
      <c r="F37" s="9"/>
      <c r="G37" s="6"/>
      <c r="H37" s="15"/>
      <c r="I37" s="16"/>
    </row>
    <row r="38" spans="1:9" x14ac:dyDescent="0.4">
      <c r="A38" s="12" t="s">
        <v>5</v>
      </c>
      <c r="B38" s="36" t="s">
        <v>3</v>
      </c>
      <c r="C38" s="25" t="str">
        <f>IF(AND(ISNUMBER(C19),ISNUMBER(C20),ISNUMBER(C22),ISNUMBER(C24),ISNUMBER(C25),C19&gt;=3,C19&lt;=12,C20&gt;=3,C20&lt;=12,C22&gt;=3,C22&lt;=12,C24&gt;=1,C24&lt;=4,C25&gt;=1,C25&lt;=4),SUM(C19:C20)+C22+SUM(C24:C25),"ー")</f>
        <v>ー</v>
      </c>
      <c r="D38" s="33">
        <f>VLOOKUP(E1,DATA!$A$2:$BK$43,31,FALSE)</f>
        <v>21.810919185377188</v>
      </c>
      <c r="E38" s="33">
        <f>VLOOKUP(E1,DATA!$A$2:$BK$43,62,FALSE)</f>
        <v>7.0615028141477802</v>
      </c>
      <c r="F38" s="29" t="str">
        <f>IF(C38="ー","ー",50+10*(C38-D38)/E38)</f>
        <v>ー</v>
      </c>
      <c r="G38" s="11" t="str">
        <f>IF(C38="ー","ー",(C38-D38)/E38)</f>
        <v>ー</v>
      </c>
      <c r="H38" s="17" t="str">
        <f>IF(F38="ー","ー",100-F38)</f>
        <v>ー</v>
      </c>
      <c r="I38" s="18" t="str">
        <f>IF(G38="ー","ー",-G38)</f>
        <v>ー</v>
      </c>
    </row>
    <row r="39" spans="1:9" x14ac:dyDescent="0.4">
      <c r="A39" s="12" t="s">
        <v>4</v>
      </c>
      <c r="B39" s="36" t="s">
        <v>17</v>
      </c>
      <c r="C39" s="25" t="str">
        <f>IF(AND(ISNUMBER(C5),ISNUMBER(C11),ISNUMBER(C28),ISNUMBER(C29),C5&gt;=3,C5&lt;=12,C11&gt;=3,C11&lt;=12,C28&gt;=3,C28&lt;=12,C29&gt;=3,C29&lt;=12),C5+45-(C11+C28+C29),"ー")</f>
        <v>ー</v>
      </c>
      <c r="D39" s="33">
        <f>VLOOKUP(E1,DATA!$A$2:$BK$43,32,FALSE)</f>
        <v>29.979523376470183</v>
      </c>
      <c r="E39" s="33">
        <f>VLOOKUP(E1,DATA!$A$2:$BK$43,63,FALSE)</f>
        <v>5.6839944793746309</v>
      </c>
      <c r="F39" s="29" t="str">
        <f>IF(C39="ー","ー",50+10*(C39-D39)/E39)</f>
        <v>ー</v>
      </c>
      <c r="G39" s="11" t="str">
        <f>IF(C39="ー","ー",(C39-D39)/E39)</f>
        <v>ー</v>
      </c>
      <c r="H39" s="17" t="str">
        <f>IF(F39="ー","ー",100-F39)</f>
        <v>ー</v>
      </c>
      <c r="I39" s="18" t="str">
        <f>IF(G39="ー","ー",-G39)</f>
        <v>ー</v>
      </c>
    </row>
    <row r="40" spans="1:9" ht="56.25" customHeight="1" x14ac:dyDescent="0.4">
      <c r="A40" s="53" t="s">
        <v>133</v>
      </c>
      <c r="B40" s="53"/>
      <c r="C40" s="53"/>
      <c r="D40" s="53"/>
      <c r="E40" s="53"/>
      <c r="F40" s="53"/>
      <c r="G40" s="53"/>
      <c r="H40" s="53"/>
      <c r="I40" s="53"/>
    </row>
  </sheetData>
  <sheetProtection sheet="1" objects="1" scenarios="1" selectLockedCells="1"/>
  <mergeCells count="2">
    <mergeCell ref="A40:I40"/>
    <mergeCell ref="E1:F1"/>
  </mergeCells>
  <phoneticPr fontId="1"/>
  <printOptions horizontalCentered="1" verticalCentered="1"/>
  <pageMargins left="0.70866141732283472" right="0.70866141732283472" top="0.74803149606299213" bottom="0.74803149606299213" header="0.31496062992125984" footer="0.31496062992125984"/>
  <pageSetup paperSize="9" scale="62" orientation="landscape" r:id="rId1"/>
  <ignoredErrors>
    <ignoredError sqref="C32:C36" formulaRange="1"/>
    <ignoredError sqref="F7:G21"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A6439ADF-96D1-4B0D-8934-CE1AA7B408EA}">
          <x14:formula1>
            <xm:f>DATA!$A$3:$A$43</xm:f>
          </x14:formula1>
          <xm:sqref>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FA5A5-83AE-49AE-AFB6-13A38B8AC815}">
  <dimension ref="A1:BK43"/>
  <sheetViews>
    <sheetView zoomScale="70" zoomScaleNormal="70" workbookViewId="0"/>
  </sheetViews>
  <sheetFormatPr defaultRowHeight="18.75" x14ac:dyDescent="0.4"/>
  <cols>
    <col min="1" max="1" width="31.5" customWidth="1"/>
    <col min="2" max="6" width="23.875" customWidth="1"/>
    <col min="7" max="7" width="30.875" bestFit="1" customWidth="1"/>
    <col min="8" max="11" width="23.875" customWidth="1"/>
    <col min="12" max="12" width="39.75" bestFit="1" customWidth="1"/>
    <col min="13" max="26" width="23.875" customWidth="1"/>
    <col min="27" max="28" width="39.75" bestFit="1" customWidth="1"/>
    <col min="29" max="29" width="28.375" bestFit="1" customWidth="1"/>
    <col min="30" max="30" width="45" bestFit="1" customWidth="1"/>
    <col min="31" max="31" width="28.375" bestFit="1" customWidth="1"/>
    <col min="32" max="32" width="45" bestFit="1" customWidth="1"/>
    <col min="33" max="37" width="23.875" customWidth="1"/>
    <col min="38" max="38" width="30.875" bestFit="1" customWidth="1"/>
    <col min="39" max="42" width="23.875" customWidth="1"/>
    <col min="43" max="43" width="39.75" bestFit="1" customWidth="1"/>
    <col min="44" max="57" width="23.875" customWidth="1"/>
    <col min="58" max="59" width="39.75" bestFit="1" customWidth="1"/>
    <col min="60" max="60" width="28.375" bestFit="1" customWidth="1"/>
    <col min="61" max="61" width="23.875" customWidth="1"/>
    <col min="62" max="62" width="28.375" bestFit="1" customWidth="1"/>
    <col min="63" max="63" width="45" bestFit="1" customWidth="1"/>
  </cols>
  <sheetData>
    <row r="1" spans="1:63" x14ac:dyDescent="0.4">
      <c r="B1" s="48" t="s">
        <v>99</v>
      </c>
      <c r="C1" s="48" t="s">
        <v>99</v>
      </c>
      <c r="D1" s="48" t="s">
        <v>99</v>
      </c>
      <c r="E1" s="48" t="s">
        <v>99</v>
      </c>
      <c r="F1" s="48" t="s">
        <v>99</v>
      </c>
      <c r="G1" s="48" t="s">
        <v>99</v>
      </c>
      <c r="H1" s="48" t="s">
        <v>99</v>
      </c>
      <c r="I1" s="48" t="s">
        <v>99</v>
      </c>
      <c r="J1" s="48" t="s">
        <v>99</v>
      </c>
      <c r="K1" s="48" t="s">
        <v>99</v>
      </c>
      <c r="L1" s="48" t="s">
        <v>99</v>
      </c>
      <c r="M1" s="48" t="s">
        <v>99</v>
      </c>
      <c r="N1" s="48" t="s">
        <v>99</v>
      </c>
      <c r="O1" s="48" t="s">
        <v>99</v>
      </c>
      <c r="P1" s="48" t="s">
        <v>99</v>
      </c>
      <c r="Q1" s="48" t="s">
        <v>99</v>
      </c>
      <c r="R1" s="48" t="s">
        <v>99</v>
      </c>
      <c r="S1" s="48" t="s">
        <v>99</v>
      </c>
      <c r="T1" s="48" t="s">
        <v>99</v>
      </c>
      <c r="U1" s="48" t="s">
        <v>99</v>
      </c>
      <c r="V1" s="48" t="s">
        <v>99</v>
      </c>
      <c r="W1" s="48" t="s">
        <v>99</v>
      </c>
      <c r="X1" s="48" t="s">
        <v>99</v>
      </c>
      <c r="Y1" s="48" t="s">
        <v>99</v>
      </c>
      <c r="Z1" s="48" t="s">
        <v>99</v>
      </c>
      <c r="AA1" s="48" t="s">
        <v>99</v>
      </c>
      <c r="AB1" s="48" t="s">
        <v>99</v>
      </c>
      <c r="AC1" s="48" t="s">
        <v>99</v>
      </c>
      <c r="AD1" s="48" t="s">
        <v>99</v>
      </c>
      <c r="AE1" s="48" t="s">
        <v>99</v>
      </c>
      <c r="AF1" s="48" t="s">
        <v>99</v>
      </c>
      <c r="AG1" s="49" t="s">
        <v>130</v>
      </c>
      <c r="AH1" s="49" t="s">
        <v>130</v>
      </c>
      <c r="AI1" s="49" t="s">
        <v>130</v>
      </c>
      <c r="AJ1" s="49" t="s">
        <v>130</v>
      </c>
      <c r="AK1" s="49" t="s">
        <v>130</v>
      </c>
      <c r="AL1" s="49" t="s">
        <v>130</v>
      </c>
      <c r="AM1" s="49" t="s">
        <v>130</v>
      </c>
      <c r="AN1" s="49" t="s">
        <v>130</v>
      </c>
      <c r="AO1" s="49" t="s">
        <v>130</v>
      </c>
      <c r="AP1" s="49" t="s">
        <v>130</v>
      </c>
      <c r="AQ1" s="49" t="s">
        <v>130</v>
      </c>
      <c r="AR1" s="49" t="s">
        <v>130</v>
      </c>
      <c r="AS1" s="49" t="s">
        <v>130</v>
      </c>
      <c r="AT1" s="49" t="s">
        <v>130</v>
      </c>
      <c r="AU1" s="49" t="s">
        <v>130</v>
      </c>
      <c r="AV1" s="49" t="s">
        <v>130</v>
      </c>
      <c r="AW1" s="49" t="s">
        <v>130</v>
      </c>
      <c r="AX1" s="49" t="s">
        <v>130</v>
      </c>
      <c r="AY1" s="49" t="s">
        <v>130</v>
      </c>
      <c r="AZ1" s="49" t="s">
        <v>130</v>
      </c>
      <c r="BA1" s="49" t="s">
        <v>130</v>
      </c>
      <c r="BB1" s="49" t="s">
        <v>130</v>
      </c>
      <c r="BC1" s="49" t="s">
        <v>130</v>
      </c>
      <c r="BD1" s="49" t="s">
        <v>130</v>
      </c>
      <c r="BE1" s="49" t="s">
        <v>130</v>
      </c>
      <c r="BF1" s="49" t="s">
        <v>130</v>
      </c>
      <c r="BG1" s="49" t="s">
        <v>130</v>
      </c>
      <c r="BH1" s="49" t="s">
        <v>130</v>
      </c>
      <c r="BI1" s="49" t="s">
        <v>130</v>
      </c>
      <c r="BJ1" s="49" t="s">
        <v>130</v>
      </c>
      <c r="BK1" s="49" t="s">
        <v>130</v>
      </c>
    </row>
    <row r="2" spans="1:63" x14ac:dyDescent="0.4">
      <c r="A2" s="46" t="s">
        <v>93</v>
      </c>
      <c r="B2" s="47" t="s">
        <v>101</v>
      </c>
      <c r="C2" s="47" t="s">
        <v>103</v>
      </c>
      <c r="D2" s="47" t="s">
        <v>104</v>
      </c>
      <c r="E2" s="47" t="s">
        <v>105</v>
      </c>
      <c r="F2" s="47" t="s">
        <v>106</v>
      </c>
      <c r="G2" s="47" t="s">
        <v>6</v>
      </c>
      <c r="H2" s="47" t="s">
        <v>107</v>
      </c>
      <c r="I2" s="47" t="s">
        <v>108</v>
      </c>
      <c r="J2" s="47" t="s">
        <v>109</v>
      </c>
      <c r="K2" s="47" t="s">
        <v>110</v>
      </c>
      <c r="L2" s="47" t="s">
        <v>111</v>
      </c>
      <c r="M2" s="47" t="s">
        <v>112</v>
      </c>
      <c r="N2" s="47" t="s">
        <v>113</v>
      </c>
      <c r="O2" s="47" t="s">
        <v>114</v>
      </c>
      <c r="P2" s="47" t="s">
        <v>115</v>
      </c>
      <c r="Q2" s="47" t="s">
        <v>116</v>
      </c>
      <c r="R2" s="47" t="s">
        <v>117</v>
      </c>
      <c r="S2" s="47" t="s">
        <v>118</v>
      </c>
      <c r="T2" s="47" t="s">
        <v>119</v>
      </c>
      <c r="U2" s="47" t="s">
        <v>120</v>
      </c>
      <c r="V2" s="47" t="s">
        <v>121</v>
      </c>
      <c r="W2" s="47" t="s">
        <v>96</v>
      </c>
      <c r="X2" s="47" t="s">
        <v>97</v>
      </c>
      <c r="Y2" s="47" t="s">
        <v>122</v>
      </c>
      <c r="Z2" s="47" t="s">
        <v>123</v>
      </c>
      <c r="AA2" s="47" t="s">
        <v>124</v>
      </c>
      <c r="AB2" s="47" t="s">
        <v>125</v>
      </c>
      <c r="AC2" s="47" t="s">
        <v>126</v>
      </c>
      <c r="AD2" s="47" t="s">
        <v>127</v>
      </c>
      <c r="AE2" s="47" t="s">
        <v>128</v>
      </c>
      <c r="AF2" s="47" t="s">
        <v>129</v>
      </c>
      <c r="AG2" s="47" t="s">
        <v>100</v>
      </c>
      <c r="AH2" s="47" t="s">
        <v>102</v>
      </c>
      <c r="AI2" s="47" t="s">
        <v>104</v>
      </c>
      <c r="AJ2" s="47" t="s">
        <v>105</v>
      </c>
      <c r="AK2" s="47" t="s">
        <v>106</v>
      </c>
      <c r="AL2" s="47" t="s">
        <v>6</v>
      </c>
      <c r="AM2" s="47" t="s">
        <v>107</v>
      </c>
      <c r="AN2" s="47" t="s">
        <v>108</v>
      </c>
      <c r="AO2" s="47" t="s">
        <v>109</v>
      </c>
      <c r="AP2" s="47" t="s">
        <v>110</v>
      </c>
      <c r="AQ2" s="47" t="s">
        <v>111</v>
      </c>
      <c r="AR2" s="47" t="s">
        <v>112</v>
      </c>
      <c r="AS2" s="47" t="s">
        <v>113</v>
      </c>
      <c r="AT2" s="47" t="s">
        <v>114</v>
      </c>
      <c r="AU2" s="47" t="s">
        <v>115</v>
      </c>
      <c r="AV2" s="47" t="s">
        <v>116</v>
      </c>
      <c r="AW2" s="47" t="s">
        <v>117</v>
      </c>
      <c r="AX2" s="47" t="s">
        <v>118</v>
      </c>
      <c r="AY2" s="47" t="s">
        <v>119</v>
      </c>
      <c r="AZ2" s="47" t="s">
        <v>120</v>
      </c>
      <c r="BA2" s="47" t="s">
        <v>121</v>
      </c>
      <c r="BB2" s="47" t="s">
        <v>96</v>
      </c>
      <c r="BC2" s="47" t="s">
        <v>97</v>
      </c>
      <c r="BD2" s="47" t="s">
        <v>122</v>
      </c>
      <c r="BE2" s="47" t="s">
        <v>123</v>
      </c>
      <c r="BF2" s="47" t="s">
        <v>124</v>
      </c>
      <c r="BG2" s="47" t="s">
        <v>125</v>
      </c>
      <c r="BH2" s="47" t="s">
        <v>126</v>
      </c>
      <c r="BI2" s="47" t="s">
        <v>127</v>
      </c>
      <c r="BJ2" s="47" t="s">
        <v>128</v>
      </c>
      <c r="BK2" s="47" t="s">
        <v>129</v>
      </c>
    </row>
    <row r="3" spans="1:63" x14ac:dyDescent="0.4">
      <c r="A3" s="40" t="s">
        <v>55</v>
      </c>
      <c r="B3" s="41">
        <v>8.4153751421448622</v>
      </c>
      <c r="C3" s="41">
        <v>8.6272299900325979</v>
      </c>
      <c r="D3" s="41">
        <v>2.2427217361295093</v>
      </c>
      <c r="E3" s="41">
        <v>6.301937880861602</v>
      </c>
      <c r="F3" s="41">
        <v>2.1239763195691386</v>
      </c>
      <c r="G3" s="42">
        <v>27.71124106873771</v>
      </c>
      <c r="H3" s="41">
        <v>7.7878532011957153</v>
      </c>
      <c r="I3" s="41">
        <v>2.882264301523787</v>
      </c>
      <c r="J3" s="41">
        <v>2.843380957065138</v>
      </c>
      <c r="K3" s="41">
        <v>2.8319793199495589</v>
      </c>
      <c r="L3" s="42">
        <v>16.3454777797342</v>
      </c>
      <c r="M3" s="41">
        <v>6.5668111684830066</v>
      </c>
      <c r="N3" s="41">
        <v>6.3221883959965162</v>
      </c>
      <c r="O3" s="41">
        <v>6.7256388609758773</v>
      </c>
      <c r="P3" s="43">
        <v>6.1745366641089845</v>
      </c>
      <c r="Q3" s="41">
        <v>10.461686862450673</v>
      </c>
      <c r="R3" s="41">
        <v>5.7482453693461917</v>
      </c>
      <c r="S3" s="41">
        <v>19.687776472262804</v>
      </c>
      <c r="T3" s="41">
        <v>1.3563424458433864</v>
      </c>
      <c r="U3" s="41">
        <v>1.7768495585940753</v>
      </c>
      <c r="V3" s="41">
        <v>38.117239615049044</v>
      </c>
      <c r="W3" s="41">
        <v>7.6016588623290566</v>
      </c>
      <c r="X3" s="41">
        <v>8.0656956445819858</v>
      </c>
      <c r="Y3" s="41">
        <v>9.5831926715776952</v>
      </c>
      <c r="Z3" s="44">
        <v>5.7749042807164024</v>
      </c>
      <c r="AA3" s="34">
        <v>25.250547178488738</v>
      </c>
      <c r="AB3" s="44">
        <v>15.702613107208023</v>
      </c>
      <c r="AC3" s="44">
        <v>57.805016087311849</v>
      </c>
      <c r="AD3" s="44">
        <v>61.115216110514773</v>
      </c>
      <c r="AE3" s="34">
        <v>21.810919185377188</v>
      </c>
      <c r="AF3" s="34">
        <v>29.979523376470183</v>
      </c>
      <c r="AG3" s="45">
        <v>2.1357686702891461</v>
      </c>
      <c r="AH3" s="45">
        <v>1.9003489926993467</v>
      </c>
      <c r="AI3" s="45">
        <v>1.0264111233438635</v>
      </c>
      <c r="AJ3" s="45">
        <v>1.9011250276091216</v>
      </c>
      <c r="AK3" s="45">
        <v>0.93889749846099202</v>
      </c>
      <c r="AL3" s="45">
        <v>5.2060605970310867</v>
      </c>
      <c r="AM3" s="45">
        <v>1.9979160016120201</v>
      </c>
      <c r="AN3" s="45">
        <v>0.78191153176156869</v>
      </c>
      <c r="AO3" s="45">
        <v>0.75363363387911542</v>
      </c>
      <c r="AP3" s="45">
        <v>0.80967254959664348</v>
      </c>
      <c r="AQ3" s="45">
        <v>3.2264061447232466</v>
      </c>
      <c r="AR3" s="45">
        <v>2.3146940353828183</v>
      </c>
      <c r="AS3" s="45">
        <v>2.3799616905627361</v>
      </c>
      <c r="AT3" s="45">
        <v>2.4886325049094449</v>
      </c>
      <c r="AU3" s="45">
        <v>2.2917679046444874</v>
      </c>
      <c r="AV3" s="45">
        <v>3.9178016767564241</v>
      </c>
      <c r="AW3" s="45">
        <v>2.3407590234429803</v>
      </c>
      <c r="AX3" s="45">
        <v>5.9834603345149517</v>
      </c>
      <c r="AY3" s="45">
        <v>0.6385601149810558</v>
      </c>
      <c r="AZ3" s="45">
        <v>0.88696319294292769</v>
      </c>
      <c r="BA3" s="45">
        <v>10.636612806435604</v>
      </c>
      <c r="BB3" s="45">
        <v>2.2502065026650491</v>
      </c>
      <c r="BC3" s="45">
        <v>2.1135621004086884</v>
      </c>
      <c r="BD3" s="45">
        <v>2.2184007241830774</v>
      </c>
      <c r="BE3" s="45">
        <v>1.2943329748795429</v>
      </c>
      <c r="BF3" s="45">
        <v>5.2548430815235028</v>
      </c>
      <c r="BG3" s="45">
        <v>3.9452108531171897</v>
      </c>
      <c r="BH3" s="45">
        <v>15.238920714285396</v>
      </c>
      <c r="BI3" s="45">
        <v>10.264039714709588</v>
      </c>
      <c r="BJ3" s="45">
        <v>7.0615028141477802</v>
      </c>
      <c r="BK3" s="45">
        <v>5.6839944793746309</v>
      </c>
    </row>
    <row r="4" spans="1:63" x14ac:dyDescent="0.4">
      <c r="A4" s="40" t="s">
        <v>56</v>
      </c>
      <c r="B4" s="45">
        <v>8.5162285775062649</v>
      </c>
      <c r="C4" s="45">
        <v>8.6887821507319316</v>
      </c>
      <c r="D4" s="45">
        <v>2.2508420833728788</v>
      </c>
      <c r="E4" s="45">
        <v>6.3549579119616473</v>
      </c>
      <c r="F4" s="45">
        <v>2.1008990619749657</v>
      </c>
      <c r="G4" s="45">
        <v>27.911709785547686</v>
      </c>
      <c r="H4" s="45">
        <v>7.899161231489332</v>
      </c>
      <c r="I4" s="45">
        <v>2.9111606962678303</v>
      </c>
      <c r="J4" s="45">
        <v>2.8431288144990119</v>
      </c>
      <c r="K4" s="45">
        <v>2.8209024358185961</v>
      </c>
      <c r="L4" s="45">
        <v>16.4743531780748</v>
      </c>
      <c r="M4" s="45">
        <v>6.6391919462953162</v>
      </c>
      <c r="N4" s="45">
        <v>6.2784340780187531</v>
      </c>
      <c r="O4" s="45">
        <v>6.5314126707013243</v>
      </c>
      <c r="P4" s="45">
        <v>6.2076642629310834</v>
      </c>
      <c r="Q4" s="45">
        <v>10.420359555519454</v>
      </c>
      <c r="R4" s="45">
        <v>5.6951040303025007</v>
      </c>
      <c r="S4" s="45">
        <v>19.100400165632962</v>
      </c>
      <c r="T4" s="45">
        <v>1.3482572926561904</v>
      </c>
      <c r="U4" s="45">
        <v>1.7783125595959128</v>
      </c>
      <c r="V4" s="45">
        <v>37.798678620875293</v>
      </c>
      <c r="W4" s="45">
        <v>7.7332206735261337</v>
      </c>
      <c r="X4" s="45">
        <v>8.0146270530900523</v>
      </c>
      <c r="Y4" s="45">
        <v>9.4188378516661704</v>
      </c>
      <c r="Z4" s="45">
        <v>5.7603340883089533</v>
      </c>
      <c r="AA4" s="45">
        <v>25.166685578282355</v>
      </c>
      <c r="AB4" s="45">
        <v>15.772311191241371</v>
      </c>
      <c r="AC4" s="45">
        <v>56.899078786508255</v>
      </c>
      <c r="AD4" s="45">
        <v>61.270671029190559</v>
      </c>
      <c r="AE4" s="45">
        <v>21.584341642228441</v>
      </c>
      <c r="AF4" s="45">
        <v>29.874925551547012</v>
      </c>
      <c r="AG4" s="45">
        <v>2.1238188304215821</v>
      </c>
      <c r="AH4" s="45">
        <v>1.8574645976721718</v>
      </c>
      <c r="AI4" s="45">
        <v>0.99947876681628267</v>
      </c>
      <c r="AJ4" s="45">
        <v>1.8917488385040324</v>
      </c>
      <c r="AK4" s="45">
        <v>0.94223854119244543</v>
      </c>
      <c r="AL4" s="45">
        <v>5.1264564449697092</v>
      </c>
      <c r="AM4" s="45">
        <v>1.9974598347772188</v>
      </c>
      <c r="AN4" s="45">
        <v>0.78709267583850662</v>
      </c>
      <c r="AO4" s="45">
        <v>0.75989523967289319</v>
      </c>
      <c r="AP4" s="45">
        <v>0.81779022461616613</v>
      </c>
      <c r="AQ4" s="45">
        <v>3.2881518010194299</v>
      </c>
      <c r="AR4" s="45">
        <v>2.2954282404039197</v>
      </c>
      <c r="AS4" s="45">
        <v>2.3668518702190049</v>
      </c>
      <c r="AT4" s="45">
        <v>2.4350515286773837</v>
      </c>
      <c r="AU4" s="45">
        <v>2.2598362634490843</v>
      </c>
      <c r="AV4" s="45">
        <v>3.9130423840527371</v>
      </c>
      <c r="AW4" s="45">
        <v>2.3191645205608498</v>
      </c>
      <c r="AX4" s="45">
        <v>5.9137886069920125</v>
      </c>
      <c r="AY4" s="45">
        <v>0.63537839914811789</v>
      </c>
      <c r="AZ4" s="45">
        <v>0.88398039582300136</v>
      </c>
      <c r="BA4" s="45">
        <v>10.593155699824347</v>
      </c>
      <c r="BB4" s="45">
        <v>2.2443059594517987</v>
      </c>
      <c r="BC4" s="45">
        <v>2.0940444030791676</v>
      </c>
      <c r="BD4" s="45">
        <v>2.2544877700115982</v>
      </c>
      <c r="BE4" s="45">
        <v>1.3205429050756328</v>
      </c>
      <c r="BF4" s="45">
        <v>5.3272536971128615</v>
      </c>
      <c r="BG4" s="45">
        <v>3.96090246953993</v>
      </c>
      <c r="BH4" s="45">
        <v>15.148038967723346</v>
      </c>
      <c r="BI4" s="45">
        <v>10.352990631739758</v>
      </c>
      <c r="BJ4" s="45">
        <v>7.0148013820795487</v>
      </c>
      <c r="BK4" s="45">
        <v>5.7039100701464598</v>
      </c>
    </row>
    <row r="5" spans="1:63" x14ac:dyDescent="0.4">
      <c r="A5" s="40" t="s">
        <v>57</v>
      </c>
      <c r="B5" s="41">
        <v>8.2755451228601054</v>
      </c>
      <c r="C5" s="41">
        <v>8.5475327072481306</v>
      </c>
      <c r="D5" s="41">
        <v>2.241855822526722</v>
      </c>
      <c r="E5" s="41">
        <v>6.2173630702838567</v>
      </c>
      <c r="F5" s="41">
        <v>2.160314137571826</v>
      </c>
      <c r="G5" s="42">
        <v>27.442610860490642</v>
      </c>
      <c r="H5" s="41">
        <v>7.6122617926891047</v>
      </c>
      <c r="I5" s="41">
        <v>2.8406786440023981</v>
      </c>
      <c r="J5" s="41">
        <v>2.8455269428458796</v>
      </c>
      <c r="K5" s="41">
        <v>2.8533434456759252</v>
      </c>
      <c r="L5" s="42">
        <v>16.151810825213307</v>
      </c>
      <c r="M5" s="41">
        <v>6.4600426201839865</v>
      </c>
      <c r="N5" s="41">
        <v>6.3894966453511115</v>
      </c>
      <c r="O5" s="41">
        <v>7.0284632350799949</v>
      </c>
      <c r="P5" s="43">
        <v>6.1249100436433821</v>
      </c>
      <c r="Q5" s="41">
        <v>10.520615200874042</v>
      </c>
      <c r="R5" s="41">
        <v>5.8340024492349514</v>
      </c>
      <c r="S5" s="41">
        <v>20.582904111503929</v>
      </c>
      <c r="T5" s="41">
        <v>1.3693527028849659</v>
      </c>
      <c r="U5" s="41">
        <v>1.7740795909496936</v>
      </c>
      <c r="V5" s="41">
        <v>38.603442504764544</v>
      </c>
      <c r="W5" s="41">
        <v>7.4010811538167269</v>
      </c>
      <c r="X5" s="41">
        <v>8.1491621733819652</v>
      </c>
      <c r="Y5" s="41">
        <v>9.8370863581598851</v>
      </c>
      <c r="Z5" s="44">
        <v>5.7985973528078887</v>
      </c>
      <c r="AA5" s="34">
        <v>25.38732968535858</v>
      </c>
      <c r="AB5" s="44">
        <v>15.587136150098234</v>
      </c>
      <c r="AC5" s="44">
        <v>59.186346616268473</v>
      </c>
      <c r="AD5" s="44">
        <v>60.903470349918756</v>
      </c>
      <c r="AE5" s="34">
        <v>22.174683729121565</v>
      </c>
      <c r="AF5" s="34">
        <v>30.150171799376608</v>
      </c>
      <c r="AG5" s="41">
        <v>2.1484012032299549</v>
      </c>
      <c r="AH5" s="41">
        <v>1.9661698845040823</v>
      </c>
      <c r="AI5" s="41">
        <v>1.0681312262766209</v>
      </c>
      <c r="AJ5" s="41">
        <v>1.9128531074665964</v>
      </c>
      <c r="AK5" s="41">
        <v>0.93214631190312092</v>
      </c>
      <c r="AL5" s="42">
        <v>5.3242836100797852</v>
      </c>
      <c r="AM5" s="41">
        <v>1.9837694635839174</v>
      </c>
      <c r="AN5" s="41">
        <v>0.7714714089626209</v>
      </c>
      <c r="AO5" s="41">
        <v>0.74330477483800883</v>
      </c>
      <c r="AP5" s="41">
        <v>0.79566716248327052</v>
      </c>
      <c r="AQ5" s="42">
        <v>3.1122576848186845</v>
      </c>
      <c r="AR5" s="41">
        <v>2.3412092757117349</v>
      </c>
      <c r="AS5" s="41">
        <v>2.3993989327776379</v>
      </c>
      <c r="AT5" s="41">
        <v>2.5411217297085065</v>
      </c>
      <c r="AU5" s="43">
        <v>2.3412247411336362</v>
      </c>
      <c r="AV5" s="41">
        <v>3.9241334792629958</v>
      </c>
      <c r="AW5" s="41">
        <v>2.3724375493166705</v>
      </c>
      <c r="AX5" s="41">
        <v>5.9830552298701205</v>
      </c>
      <c r="AY5" s="41">
        <v>0.64341497784692736</v>
      </c>
      <c r="AZ5" s="41">
        <v>0.89156085248858252</v>
      </c>
      <c r="BA5" s="41">
        <v>10.686058783040986</v>
      </c>
      <c r="BB5" s="41">
        <v>2.2438395063698868</v>
      </c>
      <c r="BC5" s="41">
        <v>2.141160930422104</v>
      </c>
      <c r="BD5" s="41">
        <v>2.1330386751232795</v>
      </c>
      <c r="BE5" s="44">
        <v>1.2503531751978105</v>
      </c>
      <c r="BF5" s="34">
        <v>5.1307192175182381</v>
      </c>
      <c r="BG5" s="44">
        <v>3.9156357164669315</v>
      </c>
      <c r="BH5" s="44">
        <v>15.277913403741612</v>
      </c>
      <c r="BI5" s="44">
        <v>10.113228903441506</v>
      </c>
      <c r="BJ5" s="34">
        <v>7.1201555854166791</v>
      </c>
      <c r="BK5" s="34">
        <v>5.6456692223524572</v>
      </c>
    </row>
    <row r="6" spans="1:63" x14ac:dyDescent="0.4">
      <c r="A6" s="40" t="s">
        <v>94</v>
      </c>
      <c r="B6" s="41">
        <v>9.0759139577505081</v>
      </c>
      <c r="C6" s="41">
        <v>9.1356226487894343</v>
      </c>
      <c r="D6" s="41">
        <v>2.1092890903829544</v>
      </c>
      <c r="E6" s="41">
        <v>6.1485482781903826</v>
      </c>
      <c r="F6" s="41">
        <v>1.9402913089611298</v>
      </c>
      <c r="G6" s="42">
        <v>28.409665284074411</v>
      </c>
      <c r="H6" s="41">
        <v>7.9462718240571126</v>
      </c>
      <c r="I6" s="41">
        <v>2.8178836693353979</v>
      </c>
      <c r="J6" s="41">
        <v>2.9236037426449228</v>
      </c>
      <c r="K6" s="41">
        <v>2.943185106588218</v>
      </c>
      <c r="L6" s="42">
        <v>16.630944342625654</v>
      </c>
      <c r="M6" s="41">
        <v>7.0262370984855851</v>
      </c>
      <c r="N6" s="41">
        <v>6.0979068197164059</v>
      </c>
      <c r="O6" s="41">
        <v>7.0539210957847116</v>
      </c>
      <c r="P6" s="43">
        <v>6.5097906819716407</v>
      </c>
      <c r="Q6" s="41">
        <v>10.674930066557359</v>
      </c>
      <c r="R6" s="41">
        <v>5.7659882318896321</v>
      </c>
      <c r="S6" s="41">
        <v>19.869200347255795</v>
      </c>
      <c r="T6" s="41">
        <v>1.3714671553969271</v>
      </c>
      <c r="U6" s="41">
        <v>1.9311276164753579</v>
      </c>
      <c r="V6" s="41">
        <v>38.310311565544531</v>
      </c>
      <c r="W6" s="41">
        <v>8.3270955917816671</v>
      </c>
      <c r="X6" s="41">
        <v>8.520401273270954</v>
      </c>
      <c r="Y6" s="41">
        <v>9.7166972123082509</v>
      </c>
      <c r="Z6" s="44">
        <v>5.9687469856274857</v>
      </c>
      <c r="AA6" s="34">
        <v>26.56419407736087</v>
      </c>
      <c r="AB6" s="44">
        <v>16.847496865052626</v>
      </c>
      <c r="AC6" s="44">
        <v>58.179511912800322</v>
      </c>
      <c r="AD6" s="44">
        <v>60.214526864087887</v>
      </c>
      <c r="AE6" s="34">
        <v>22.632294781518315</v>
      </c>
      <c r="AF6" s="34">
        <v>29.282145268640821</v>
      </c>
      <c r="AG6" s="41">
        <v>2.0524958739741495</v>
      </c>
      <c r="AH6" s="41">
        <v>1.8098737316569828</v>
      </c>
      <c r="AI6" s="41">
        <v>1.1203472810499024</v>
      </c>
      <c r="AJ6" s="41">
        <v>1.93351872516958</v>
      </c>
      <c r="AK6" s="41">
        <v>0.99011320943334424</v>
      </c>
      <c r="AL6" s="42">
        <v>5.0133253992536053</v>
      </c>
      <c r="AM6" s="41">
        <v>2.2325074824236864</v>
      </c>
      <c r="AN6" s="41">
        <v>0.87894335469945073</v>
      </c>
      <c r="AO6" s="41">
        <v>0.78657791731352744</v>
      </c>
      <c r="AP6" s="41">
        <v>0.8412214246077131</v>
      </c>
      <c r="AQ6" s="42">
        <v>3.6839231925025762</v>
      </c>
      <c r="AR6" s="41">
        <v>2.4198688682438316</v>
      </c>
      <c r="AS6" s="41">
        <v>2.4322901875461582</v>
      </c>
      <c r="AT6" s="41">
        <v>2.5143013306886308</v>
      </c>
      <c r="AU6" s="43">
        <v>2.439045769250217</v>
      </c>
      <c r="AV6" s="41">
        <v>4.1463264918283436</v>
      </c>
      <c r="AW6" s="41">
        <v>2.4479983800920846</v>
      </c>
      <c r="AX6" s="41">
        <v>6.0635154752079128</v>
      </c>
      <c r="AY6" s="41">
        <v>0.64976583328311799</v>
      </c>
      <c r="AZ6" s="41">
        <v>0.94651615627452179</v>
      </c>
      <c r="BA6" s="41">
        <v>11.225869044270768</v>
      </c>
      <c r="BB6" s="41">
        <v>2.4479891468780157</v>
      </c>
      <c r="BC6" s="41">
        <v>2.2582930779595811</v>
      </c>
      <c r="BD6" s="41">
        <v>2.3565733885232096</v>
      </c>
      <c r="BE6" s="44">
        <v>1.3421826177422391</v>
      </c>
      <c r="BF6" s="34">
        <v>5.738707496603733</v>
      </c>
      <c r="BG6" s="44">
        <v>4.3200832278407075</v>
      </c>
      <c r="BH6" s="44">
        <v>15.951507792124362</v>
      </c>
      <c r="BI6" s="44">
        <v>11.347997586527523</v>
      </c>
      <c r="BJ6" s="34">
        <v>7.4136765254804144</v>
      </c>
      <c r="BK6" s="34">
        <v>6.3499292815046662</v>
      </c>
    </row>
    <row r="7" spans="1:63" x14ac:dyDescent="0.4">
      <c r="A7" s="40" t="s">
        <v>58</v>
      </c>
      <c r="B7" s="41">
        <v>8.1200655336031122</v>
      </c>
      <c r="C7" s="41">
        <v>8.4871355550998349</v>
      </c>
      <c r="D7" s="41">
        <v>2.7424304144257561</v>
      </c>
      <c r="E7" s="41">
        <v>5.3845920829598857</v>
      </c>
      <c r="F7" s="41">
        <v>1.9775566136396656</v>
      </c>
      <c r="G7" s="42">
        <v>26.711780199728256</v>
      </c>
      <c r="H7" s="41">
        <v>7.5529489296906931</v>
      </c>
      <c r="I7" s="41">
        <v>2.7502043127942186</v>
      </c>
      <c r="J7" s="41">
        <v>2.8503645490051444</v>
      </c>
      <c r="K7" s="41">
        <v>3.0522755289092203</v>
      </c>
      <c r="L7" s="42">
        <v>16.205793320399277</v>
      </c>
      <c r="M7" s="41">
        <v>7.2239878413785741</v>
      </c>
      <c r="N7" s="41">
        <v>5.7393447937099715</v>
      </c>
      <c r="O7" s="41">
        <v>6.9076833706401493</v>
      </c>
      <c r="P7" s="43">
        <v>6.1424371024515363</v>
      </c>
      <c r="Q7" s="41">
        <v>10.455679464768938</v>
      </c>
      <c r="R7" s="41">
        <v>5.7413544780164205</v>
      </c>
      <c r="S7" s="41">
        <v>18.596817943693594</v>
      </c>
      <c r="T7" s="41">
        <v>1.4318192377383108</v>
      </c>
      <c r="U7" s="41">
        <v>1.7034891824503153</v>
      </c>
      <c r="V7" s="41">
        <v>37.021156890192017</v>
      </c>
      <c r="W7" s="41">
        <v>8.3945929757620199</v>
      </c>
      <c r="X7" s="41">
        <v>8.7778801614063102</v>
      </c>
      <c r="Y7" s="41">
        <v>10.366316185643988</v>
      </c>
      <c r="Z7" s="44">
        <v>6.1150666019606588</v>
      </c>
      <c r="AA7" s="34">
        <v>27.53878932281232</v>
      </c>
      <c r="AB7" s="44">
        <v>17.10673522169391</v>
      </c>
      <c r="AC7" s="44">
        <v>55.617974833885611</v>
      </c>
      <c r="AD7" s="44">
        <v>57.967197556516659</v>
      </c>
      <c r="AE7" s="34">
        <v>21.970729894224746</v>
      </c>
      <c r="AF7" s="34">
        <v>28.548636384755053</v>
      </c>
      <c r="AG7" s="41">
        <v>1.9418610480825595</v>
      </c>
      <c r="AH7" s="41">
        <v>1.9543025079537517</v>
      </c>
      <c r="AI7" s="41">
        <v>1.0255312413727096</v>
      </c>
      <c r="AJ7" s="41">
        <v>1.8832673850751018</v>
      </c>
      <c r="AK7" s="41">
        <v>0.93887582048852192</v>
      </c>
      <c r="AL7" s="42">
        <v>5.0742072418271063</v>
      </c>
      <c r="AM7" s="41">
        <v>2.0106988329108471</v>
      </c>
      <c r="AN7" s="41">
        <v>0.82417129425994573</v>
      </c>
      <c r="AO7" s="41">
        <v>0.78770800403080454</v>
      </c>
      <c r="AP7" s="41">
        <v>0.82819632087909756</v>
      </c>
      <c r="AQ7" s="42">
        <v>3.1953695927513364</v>
      </c>
      <c r="AR7" s="41">
        <v>2.3507713578045535</v>
      </c>
      <c r="AS7" s="41">
        <v>2.5159912591312059</v>
      </c>
      <c r="AT7" s="41">
        <v>2.4835063198228551</v>
      </c>
      <c r="AU7" s="43">
        <v>2.4215775343836183</v>
      </c>
      <c r="AV7" s="41">
        <v>4.0978225822277601</v>
      </c>
      <c r="AW7" s="41">
        <v>2.4532720219558906</v>
      </c>
      <c r="AX7" s="41">
        <v>6.3892215480491723</v>
      </c>
      <c r="AY7" s="41">
        <v>0.74706160431404489</v>
      </c>
      <c r="AZ7" s="41">
        <v>0.90433714720352165</v>
      </c>
      <c r="BA7" s="41">
        <v>10.992702949378195</v>
      </c>
      <c r="BB7" s="41">
        <v>2.1925629917747185</v>
      </c>
      <c r="BC7" s="41">
        <v>2.3118177397813655</v>
      </c>
      <c r="BD7" s="41">
        <v>1.9418629745177747</v>
      </c>
      <c r="BE7" s="44">
        <v>1.3392055298105179</v>
      </c>
      <c r="BF7" s="34">
        <v>5.1434525875308914</v>
      </c>
      <c r="BG7" s="44">
        <v>4.02421503614661</v>
      </c>
      <c r="BH7" s="44">
        <v>16.010756000290463</v>
      </c>
      <c r="BI7" s="44">
        <v>10.027909067583693</v>
      </c>
      <c r="BJ7" s="34">
        <v>7.210617890901867</v>
      </c>
      <c r="BK7" s="34">
        <v>5.6735709178973313</v>
      </c>
    </row>
    <row r="8" spans="1:63" x14ac:dyDescent="0.4">
      <c r="A8" s="40" t="s">
        <v>59</v>
      </c>
      <c r="B8" s="41">
        <v>8.4914738663915497</v>
      </c>
      <c r="C8" s="41">
        <v>8.6752301931921334</v>
      </c>
      <c r="D8" s="41">
        <v>2.4226688444009072</v>
      </c>
      <c r="E8" s="41">
        <v>6.0701224819882391</v>
      </c>
      <c r="F8" s="41">
        <v>2.0582844805200478</v>
      </c>
      <c r="G8" s="42">
        <v>27.717779866492876</v>
      </c>
      <c r="H8" s="41">
        <v>7.825995810598168</v>
      </c>
      <c r="I8" s="41">
        <v>2.8526498739634341</v>
      </c>
      <c r="J8" s="41">
        <v>2.767374683504118</v>
      </c>
      <c r="K8" s="41">
        <v>2.8700309831441251</v>
      </c>
      <c r="L8" s="42">
        <v>16.316051351209843</v>
      </c>
      <c r="M8" s="41">
        <v>6.7490742640425276</v>
      </c>
      <c r="N8" s="41">
        <v>6.3069952918555634</v>
      </c>
      <c r="O8" s="41">
        <v>7.1243192077260291</v>
      </c>
      <c r="P8" s="43">
        <v>6.4317912494997671</v>
      </c>
      <c r="Q8" s="41">
        <v>11.120080200149165</v>
      </c>
      <c r="R8" s="41">
        <v>6.1292390634084821</v>
      </c>
      <c r="S8" s="41">
        <v>19.54642205538833</v>
      </c>
      <c r="T8" s="41">
        <v>1.421295653552703</v>
      </c>
      <c r="U8" s="41">
        <v>1.7481386211877952</v>
      </c>
      <c r="V8" s="41">
        <v>39.234111685187997</v>
      </c>
      <c r="W8" s="41">
        <v>8.0520226438189635</v>
      </c>
      <c r="X8" s="41">
        <v>8.5459308620155046</v>
      </c>
      <c r="Y8" s="41">
        <v>9.9281052630682591</v>
      </c>
      <c r="Z8" s="44">
        <v>5.7529573716243654</v>
      </c>
      <c r="AA8" s="34">
        <v>26.526058768902729</v>
      </c>
      <c r="AB8" s="44">
        <v>16.627636850543393</v>
      </c>
      <c r="AC8" s="44">
        <v>58.780533740576331</v>
      </c>
      <c r="AD8" s="44">
        <v>59.875669746380304</v>
      </c>
      <c r="AE8" s="34">
        <v>22.894033369156954</v>
      </c>
      <c r="AF8" s="34">
        <v>29.103503585334714</v>
      </c>
      <c r="AG8" s="41">
        <v>2.0687726380827609</v>
      </c>
      <c r="AH8" s="41">
        <v>1.9399870061470355</v>
      </c>
      <c r="AI8" s="41">
        <v>1.0848671096296947</v>
      </c>
      <c r="AJ8" s="41">
        <v>1.9376408436052956</v>
      </c>
      <c r="AK8" s="41">
        <v>0.94624232659151875</v>
      </c>
      <c r="AL8" s="42">
        <v>5.2371203372933746</v>
      </c>
      <c r="AM8" s="41">
        <v>2.0079762253067752</v>
      </c>
      <c r="AN8" s="41">
        <v>0.80125318807437185</v>
      </c>
      <c r="AO8" s="41">
        <v>0.78382471681049926</v>
      </c>
      <c r="AP8" s="41">
        <v>0.84213452190406812</v>
      </c>
      <c r="AQ8" s="42">
        <v>3.2258680632584129</v>
      </c>
      <c r="AR8" s="41">
        <v>2.2780736628744567</v>
      </c>
      <c r="AS8" s="41">
        <v>2.4577650089777139</v>
      </c>
      <c r="AT8" s="41">
        <v>2.4660206639192279</v>
      </c>
      <c r="AU8" s="43">
        <v>2.3798687855513974</v>
      </c>
      <c r="AV8" s="41">
        <v>4.1068170438369798</v>
      </c>
      <c r="AW8" s="41">
        <v>2.4550709695508051</v>
      </c>
      <c r="AX8" s="41">
        <v>6.2093667192356543</v>
      </c>
      <c r="AY8" s="41">
        <v>0.71011180306090083</v>
      </c>
      <c r="AZ8" s="41">
        <v>0.89770770404963607</v>
      </c>
      <c r="BA8" s="41">
        <v>10.821252382323035</v>
      </c>
      <c r="BB8" s="41">
        <v>2.2136023360319643</v>
      </c>
      <c r="BC8" s="41">
        <v>2.2212153732836986</v>
      </c>
      <c r="BD8" s="41">
        <v>2.0899697654500309</v>
      </c>
      <c r="BE8" s="44">
        <v>1.3150959517874223</v>
      </c>
      <c r="BF8" s="34">
        <v>5.2082710492401061</v>
      </c>
      <c r="BG8" s="44">
        <v>3.9790441769702203</v>
      </c>
      <c r="BH8" s="44">
        <v>15.570911753762676</v>
      </c>
      <c r="BI8" s="44">
        <v>10.239767453215261</v>
      </c>
      <c r="BJ8" s="34">
        <v>7.1615399618214282</v>
      </c>
      <c r="BK8" s="34">
        <v>5.7216077645430143</v>
      </c>
    </row>
    <row r="9" spans="1:63" x14ac:dyDescent="0.4">
      <c r="A9" s="40" t="s">
        <v>60</v>
      </c>
      <c r="B9" s="41">
        <v>8.7114499476915856</v>
      </c>
      <c r="C9" s="41">
        <v>8.7383660781271004</v>
      </c>
      <c r="D9" s="41">
        <v>2.25858074981242</v>
      </c>
      <c r="E9" s="41">
        <v>6.4976461217542525</v>
      </c>
      <c r="F9" s="41">
        <v>2.1734817141875733</v>
      </c>
      <c r="G9" s="42">
        <v>28.379524611572933</v>
      </c>
      <c r="H9" s="41">
        <v>7.7650939281273033</v>
      </c>
      <c r="I9" s="41">
        <v>2.8979112041377926</v>
      </c>
      <c r="J9" s="41">
        <v>2.8145671695041288</v>
      </c>
      <c r="K9" s="41">
        <v>2.8108949434228254</v>
      </c>
      <c r="L9" s="42">
        <v>16.288467245192049</v>
      </c>
      <c r="M9" s="41">
        <v>6.4782910007074683</v>
      </c>
      <c r="N9" s="41">
        <v>6.7060754587914246</v>
      </c>
      <c r="O9" s="41">
        <v>7.1081585617812992</v>
      </c>
      <c r="P9" s="43">
        <v>6.4086035375787898</v>
      </c>
      <c r="Q9" s="41">
        <v>10.991617346763768</v>
      </c>
      <c r="R9" s="41">
        <v>6.0688360937204839</v>
      </c>
      <c r="S9" s="41">
        <v>20.010545107877022</v>
      </c>
      <c r="T9" s="41">
        <v>1.3799519077749565</v>
      </c>
      <c r="U9" s="41">
        <v>1.783716077011984</v>
      </c>
      <c r="V9" s="41">
        <v>39.736163904207814</v>
      </c>
      <c r="W9" s="41">
        <v>7.6918474870715334</v>
      </c>
      <c r="X9" s="41">
        <v>8.1296042494098923</v>
      </c>
      <c r="Y9" s="41">
        <v>9.5807614877993537</v>
      </c>
      <c r="Z9" s="44">
        <v>5.644032506543982</v>
      </c>
      <c r="AA9" s="34">
        <v>25.402213224280779</v>
      </c>
      <c r="AB9" s="44">
        <v>15.856455428594041</v>
      </c>
      <c r="AC9" s="44">
        <v>59.746709012084835</v>
      </c>
      <c r="AD9" s="44">
        <v>61.688844142100102</v>
      </c>
      <c r="AE9" s="34">
        <v>22.76989831088515</v>
      </c>
      <c r="AF9" s="34">
        <v>30.123095099626436</v>
      </c>
      <c r="AG9" s="41">
        <v>2.1075698007444914</v>
      </c>
      <c r="AH9" s="41">
        <v>1.9110707909378777</v>
      </c>
      <c r="AI9" s="41">
        <v>1.0512041383298816</v>
      </c>
      <c r="AJ9" s="41">
        <v>1.9570569543359535</v>
      </c>
      <c r="AK9" s="41">
        <v>0.96473308612677633</v>
      </c>
      <c r="AL9" s="42">
        <v>5.2158787066727141</v>
      </c>
      <c r="AM9" s="41">
        <v>2.0226206532008337</v>
      </c>
      <c r="AN9" s="41">
        <v>0.78506254529670638</v>
      </c>
      <c r="AO9" s="41">
        <v>0.76878381043472765</v>
      </c>
      <c r="AP9" s="41">
        <v>0.84048212753851148</v>
      </c>
      <c r="AQ9" s="42">
        <v>3.2874824133143603</v>
      </c>
      <c r="AR9" s="41">
        <v>2.2863623715503225</v>
      </c>
      <c r="AS9" s="41">
        <v>2.4288865224619505</v>
      </c>
      <c r="AT9" s="41">
        <v>2.4891993023576262</v>
      </c>
      <c r="AU9" s="43">
        <v>2.3524003951001591</v>
      </c>
      <c r="AV9" s="41">
        <v>4.0509014315093879</v>
      </c>
      <c r="AW9" s="41">
        <v>2.4276915553282632</v>
      </c>
      <c r="AX9" s="41">
        <v>6.0705853123545932</v>
      </c>
      <c r="AY9" s="41">
        <v>0.66121814584046334</v>
      </c>
      <c r="AZ9" s="41">
        <v>0.89732044332522465</v>
      </c>
      <c r="BA9" s="41">
        <v>10.810595482142327</v>
      </c>
      <c r="BB9" s="41">
        <v>2.2848507130463958</v>
      </c>
      <c r="BC9" s="41">
        <v>2.143929268706128</v>
      </c>
      <c r="BD9" s="41">
        <v>2.2317478179690862</v>
      </c>
      <c r="BE9" s="44">
        <v>1.3277370625104701</v>
      </c>
      <c r="BF9" s="34">
        <v>5.32253944732624</v>
      </c>
      <c r="BG9" s="44">
        <v>4.0008962083050896</v>
      </c>
      <c r="BH9" s="44">
        <v>15.431595676458588</v>
      </c>
      <c r="BI9" s="44">
        <v>10.453392984162971</v>
      </c>
      <c r="BJ9" s="34">
        <v>7.1727025959208284</v>
      </c>
      <c r="BK9" s="34">
        <v>5.7779057551509636</v>
      </c>
    </row>
    <row r="10" spans="1:63" x14ac:dyDescent="0.4">
      <c r="A10" s="40" t="s">
        <v>61</v>
      </c>
      <c r="B10" s="41">
        <v>8.6768158189104199</v>
      </c>
      <c r="C10" s="41">
        <v>8.7578329667997554</v>
      </c>
      <c r="D10" s="41">
        <v>2.2064459071641176</v>
      </c>
      <c r="E10" s="41">
        <v>6.469276907682552</v>
      </c>
      <c r="F10" s="41">
        <v>2.1712830502945244</v>
      </c>
      <c r="G10" s="42">
        <v>28.281654650851365</v>
      </c>
      <c r="H10" s="41">
        <v>7.6918774911732948</v>
      </c>
      <c r="I10" s="41">
        <v>2.8990024426646452</v>
      </c>
      <c r="J10" s="41">
        <v>2.8330481151600679</v>
      </c>
      <c r="K10" s="41">
        <v>2.8095684870447744</v>
      </c>
      <c r="L10" s="42">
        <v>16.233496536042782</v>
      </c>
      <c r="M10" s="41">
        <v>6.3948475167480776</v>
      </c>
      <c r="N10" s="41">
        <v>6.5022892415875075</v>
      </c>
      <c r="O10" s="41">
        <v>6.8759766890939717</v>
      </c>
      <c r="P10" s="43">
        <v>6.2826257208620842</v>
      </c>
      <c r="Q10" s="41">
        <v>10.562477105084545</v>
      </c>
      <c r="R10" s="41">
        <v>5.8393844636492425</v>
      </c>
      <c r="S10" s="41">
        <v>19.99667463193127</v>
      </c>
      <c r="T10" s="41">
        <v>1.3469972040876184</v>
      </c>
      <c r="U10" s="41">
        <v>1.7885980098401701</v>
      </c>
      <c r="V10" s="41">
        <v>38.828521239880033</v>
      </c>
      <c r="W10" s="41">
        <v>7.4999185810122198</v>
      </c>
      <c r="X10" s="41">
        <v>7.9664807214119078</v>
      </c>
      <c r="Y10" s="41">
        <v>9.4341504583924856</v>
      </c>
      <c r="Z10" s="44">
        <v>5.7056111014326323</v>
      </c>
      <c r="AA10" s="34">
        <v>24.900549760816613</v>
      </c>
      <c r="AB10" s="44">
        <v>15.488815043733076</v>
      </c>
      <c r="AC10" s="44">
        <v>58.825195871811303</v>
      </c>
      <c r="AD10" s="44">
        <v>62.14760835399197</v>
      </c>
      <c r="AE10" s="34">
        <v>22.169715973990758</v>
      </c>
      <c r="AF10" s="34">
        <v>30.53743464369882</v>
      </c>
      <c r="AG10" s="41">
        <v>2.0718521509100993</v>
      </c>
      <c r="AH10" s="41">
        <v>1.8538441710096887</v>
      </c>
      <c r="AI10" s="41">
        <v>1.0056098274312957</v>
      </c>
      <c r="AJ10" s="41">
        <v>1.8780091041170701</v>
      </c>
      <c r="AK10" s="41">
        <v>0.93694505458522515</v>
      </c>
      <c r="AL10" s="42">
        <v>5.0337775548516568</v>
      </c>
      <c r="AM10" s="41">
        <v>1.9634654825779334</v>
      </c>
      <c r="AN10" s="41">
        <v>0.76274801327780928</v>
      </c>
      <c r="AO10" s="41">
        <v>0.7458297505128324</v>
      </c>
      <c r="AP10" s="41">
        <v>0.79948405574196235</v>
      </c>
      <c r="AQ10" s="42">
        <v>3.1968868466215627</v>
      </c>
      <c r="AR10" s="41">
        <v>2.3004881259936627</v>
      </c>
      <c r="AS10" s="41">
        <v>2.3601364015421527</v>
      </c>
      <c r="AT10" s="41">
        <v>2.4877919382341145</v>
      </c>
      <c r="AU10" s="43">
        <v>2.2976273176920552</v>
      </c>
      <c r="AV10" s="41">
        <v>3.8945964446418286</v>
      </c>
      <c r="AW10" s="41">
        <v>2.3343263937549472</v>
      </c>
      <c r="AX10" s="41">
        <v>5.9536254115253557</v>
      </c>
      <c r="AY10" s="41">
        <v>0.62378299399391623</v>
      </c>
      <c r="AZ10" s="41">
        <v>0.89080349099666312</v>
      </c>
      <c r="BA10" s="41">
        <v>10.578966018500832</v>
      </c>
      <c r="BB10" s="41">
        <v>2.2627984155730125</v>
      </c>
      <c r="BC10" s="41">
        <v>2.0795562028059775</v>
      </c>
      <c r="BD10" s="41">
        <v>2.2638915807632691</v>
      </c>
      <c r="BE10" s="44">
        <v>1.2845391139035627</v>
      </c>
      <c r="BF10" s="34">
        <v>5.2377878310039607</v>
      </c>
      <c r="BG10" s="44">
        <v>3.9139287684825401</v>
      </c>
      <c r="BH10" s="44">
        <v>15.143428947469076</v>
      </c>
      <c r="BI10" s="44">
        <v>10.156313565414445</v>
      </c>
      <c r="BJ10" s="34">
        <v>7.0598156486854835</v>
      </c>
      <c r="BK10" s="34">
        <v>5.6099243439269673</v>
      </c>
    </row>
    <row r="11" spans="1:63" x14ac:dyDescent="0.4">
      <c r="A11" s="40" t="s">
        <v>62</v>
      </c>
      <c r="B11" s="41">
        <v>8.3456654205853553</v>
      </c>
      <c r="C11" s="41">
        <v>8.6372788368268161</v>
      </c>
      <c r="D11" s="41">
        <v>2.2025209735149587</v>
      </c>
      <c r="E11" s="41">
        <v>6.3292752649976087</v>
      </c>
      <c r="F11" s="41">
        <v>2.1426566397690467</v>
      </c>
      <c r="G11" s="42">
        <v>27.657397135693785</v>
      </c>
      <c r="H11" s="41">
        <v>7.7400195914181502</v>
      </c>
      <c r="I11" s="41">
        <v>2.8788855977787255</v>
      </c>
      <c r="J11" s="41">
        <v>2.8491510306803476</v>
      </c>
      <c r="K11" s="41">
        <v>2.8055538689400232</v>
      </c>
      <c r="L11" s="42">
        <v>16.273610088817247</v>
      </c>
      <c r="M11" s="41">
        <v>6.447920060708527</v>
      </c>
      <c r="N11" s="41">
        <v>6.1911494358691428</v>
      </c>
      <c r="O11" s="41">
        <v>6.4506240784113267</v>
      </c>
      <c r="P11" s="43">
        <v>6.0689977029468141</v>
      </c>
      <c r="Q11" s="41">
        <v>10.146635909684344</v>
      </c>
      <c r="R11" s="41">
        <v>5.5715831307369195</v>
      </c>
      <c r="S11" s="41">
        <v>19.744607922913886</v>
      </c>
      <c r="T11" s="41">
        <v>1.3381956491254996</v>
      </c>
      <c r="U11" s="41">
        <v>1.8184273260256856</v>
      </c>
      <c r="V11" s="41">
        <v>37.409487066203098</v>
      </c>
      <c r="W11" s="41">
        <v>7.3343073845737976</v>
      </c>
      <c r="X11" s="41">
        <v>7.8197972031057015</v>
      </c>
      <c r="Y11" s="41">
        <v>9.4275131126613196</v>
      </c>
      <c r="Z11" s="44">
        <v>5.7796259612362526</v>
      </c>
      <c r="AA11" s="34">
        <v>24.581617700340818</v>
      </c>
      <c r="AB11" s="44">
        <v>15.175213008611948</v>
      </c>
      <c r="AC11" s="44">
        <v>57.154094989116984</v>
      </c>
      <c r="AD11" s="44">
        <v>61.80216934653572</v>
      </c>
      <c r="AE11" s="34">
        <v>21.30969296193226</v>
      </c>
      <c r="AF11" s="34">
        <v>30.504887262865783</v>
      </c>
      <c r="AG11" s="41">
        <v>2.0815914126795056</v>
      </c>
      <c r="AH11" s="41">
        <v>1.8432738461126734</v>
      </c>
      <c r="AI11" s="41">
        <v>0.98739484362423369</v>
      </c>
      <c r="AJ11" s="41">
        <v>1.8300737125623514</v>
      </c>
      <c r="AK11" s="41">
        <v>0.92007995479900351</v>
      </c>
      <c r="AL11" s="42">
        <v>5.0043060471141052</v>
      </c>
      <c r="AM11" s="41">
        <v>1.9702709466325743</v>
      </c>
      <c r="AN11" s="41">
        <v>0.76764847882400611</v>
      </c>
      <c r="AO11" s="41">
        <v>0.7381037986121024</v>
      </c>
      <c r="AP11" s="41">
        <v>0.78859166283124582</v>
      </c>
      <c r="AQ11" s="42">
        <v>3.1972422235364992</v>
      </c>
      <c r="AR11" s="41">
        <v>2.3252960021700679</v>
      </c>
      <c r="AS11" s="41">
        <v>2.2910409940496677</v>
      </c>
      <c r="AT11" s="41">
        <v>2.4542587167691843</v>
      </c>
      <c r="AU11" s="43">
        <v>2.2050775921969041</v>
      </c>
      <c r="AV11" s="41">
        <v>3.7415462095080616</v>
      </c>
      <c r="AW11" s="41">
        <v>2.2266503746895649</v>
      </c>
      <c r="AX11" s="41">
        <v>5.9073170459662725</v>
      </c>
      <c r="AY11" s="41">
        <v>0.60990417400107855</v>
      </c>
      <c r="AZ11" s="41">
        <v>0.8917675647463279</v>
      </c>
      <c r="BA11" s="41">
        <v>10.297670676802067</v>
      </c>
      <c r="BB11" s="41">
        <v>2.207180325000246</v>
      </c>
      <c r="BC11" s="41">
        <v>2.0139367822797118</v>
      </c>
      <c r="BD11" s="41">
        <v>2.2417864922168009</v>
      </c>
      <c r="BE11" s="44">
        <v>1.2633255336809854</v>
      </c>
      <c r="BF11" s="34">
        <v>5.121206687034725</v>
      </c>
      <c r="BG11" s="44">
        <v>3.8158075404286675</v>
      </c>
      <c r="BH11" s="44">
        <v>14.873784999032774</v>
      </c>
      <c r="BI11" s="44">
        <v>9.9942937966234204</v>
      </c>
      <c r="BJ11" s="34">
        <v>6.8611844235018404</v>
      </c>
      <c r="BK11" s="34">
        <v>5.5186225320383704</v>
      </c>
    </row>
    <row r="12" spans="1:63" x14ac:dyDescent="0.4">
      <c r="A12" s="40" t="s">
        <v>63</v>
      </c>
      <c r="B12" s="41">
        <v>7.2005547300198058</v>
      </c>
      <c r="C12" s="41">
        <v>7.9234591312332263</v>
      </c>
      <c r="D12" s="41">
        <v>2.2605003226718967</v>
      </c>
      <c r="E12" s="41">
        <v>5.8540001050489145</v>
      </c>
      <c r="F12" s="41">
        <v>2.0234592317016347</v>
      </c>
      <c r="G12" s="42">
        <v>25.261973520675475</v>
      </c>
      <c r="H12" s="41">
        <v>8.0806706372828145</v>
      </c>
      <c r="I12" s="41">
        <v>2.8763835087144303</v>
      </c>
      <c r="J12" s="41">
        <v>3.0175599889099334</v>
      </c>
      <c r="K12" s="41">
        <v>2.9049166245785489</v>
      </c>
      <c r="L12" s="42">
        <v>16.879530759485725</v>
      </c>
      <c r="M12" s="41">
        <v>7.0022726546412555</v>
      </c>
      <c r="N12" s="41">
        <v>5.4577959067783661</v>
      </c>
      <c r="O12" s="41">
        <v>5.523913001259702</v>
      </c>
      <c r="P12" s="43">
        <v>5.2471029930921818</v>
      </c>
      <c r="Q12" s="41">
        <v>8.8262982713605833</v>
      </c>
      <c r="R12" s="41">
        <v>4.7412858396429787</v>
      </c>
      <c r="S12" s="41">
        <v>18.041413302661581</v>
      </c>
      <c r="T12" s="41">
        <v>1.2660221987527043</v>
      </c>
      <c r="U12" s="41">
        <v>1.675699935024703</v>
      </c>
      <c r="V12" s="41">
        <v>33.052837517849575</v>
      </c>
      <c r="W12" s="41">
        <v>7.414331599021609</v>
      </c>
      <c r="X12" s="41">
        <v>7.836944945944289</v>
      </c>
      <c r="Y12" s="41">
        <v>9.6309394081906987</v>
      </c>
      <c r="Z12" s="44">
        <v>6.1723073606401382</v>
      </c>
      <c r="AA12" s="34">
        <v>24.882215953156596</v>
      </c>
      <c r="AB12" s="44">
        <v>15.261431509189126</v>
      </c>
      <c r="AC12" s="44">
        <v>51.094250820511157</v>
      </c>
      <c r="AD12" s="44">
        <v>58.500226808033155</v>
      </c>
      <c r="AE12" s="34">
        <v>18.492300100701666</v>
      </c>
      <c r="AF12" s="34">
        <v>28.924762706453507</v>
      </c>
      <c r="AG12" s="41">
        <v>2.1784381533747559</v>
      </c>
      <c r="AH12" s="41">
        <v>1.9708243812967237</v>
      </c>
      <c r="AI12" s="41">
        <v>0.98422185828574937</v>
      </c>
      <c r="AJ12" s="41">
        <v>1.7870312754281739</v>
      </c>
      <c r="AK12" s="41">
        <v>0.9056341723267699</v>
      </c>
      <c r="AL12" s="42">
        <v>5.3451192358835993</v>
      </c>
      <c r="AM12" s="41">
        <v>2.0374285319864716</v>
      </c>
      <c r="AN12" s="41">
        <v>0.80261881271730606</v>
      </c>
      <c r="AO12" s="41">
        <v>0.70399085197564371</v>
      </c>
      <c r="AP12" s="41">
        <v>0.75679290813791233</v>
      </c>
      <c r="AQ12" s="42">
        <v>3.1899997630631733</v>
      </c>
      <c r="AR12" s="41">
        <v>2.3614524622568127</v>
      </c>
      <c r="AS12" s="41">
        <v>2.1539341270016856</v>
      </c>
      <c r="AT12" s="41">
        <v>2.2173199184563717</v>
      </c>
      <c r="AU12" s="43">
        <v>1.9293655678402781</v>
      </c>
      <c r="AV12" s="41">
        <v>3.1590168553293294</v>
      </c>
      <c r="AW12" s="41">
        <v>1.87816798537721</v>
      </c>
      <c r="AX12" s="41">
        <v>5.3634474559806522</v>
      </c>
      <c r="AY12" s="41">
        <v>0.5489471474400035</v>
      </c>
      <c r="AZ12" s="41">
        <v>0.80782824570608158</v>
      </c>
      <c r="BA12" s="41">
        <v>9.0766274874105672</v>
      </c>
      <c r="BB12" s="41">
        <v>2.1664760741932207</v>
      </c>
      <c r="BC12" s="41">
        <v>1.9765555703982221</v>
      </c>
      <c r="BD12" s="41">
        <v>2.1180429315574494</v>
      </c>
      <c r="BE12" s="44">
        <v>1.189644486518058</v>
      </c>
      <c r="BF12" s="34">
        <v>5.028602860915738</v>
      </c>
      <c r="BG12" s="44">
        <v>3.7872241273549663</v>
      </c>
      <c r="BH12" s="44">
        <v>13.254214078588353</v>
      </c>
      <c r="BI12" s="44">
        <v>10.00538296171937</v>
      </c>
      <c r="BJ12" s="34">
        <v>5.9350849724859263</v>
      </c>
      <c r="BK12" s="34">
        <v>5.5733118845517806</v>
      </c>
    </row>
    <row r="13" spans="1:63" x14ac:dyDescent="0.4">
      <c r="A13" s="40" t="s">
        <v>64</v>
      </c>
      <c r="B13" s="41">
        <v>8.0610186804820518</v>
      </c>
      <c r="C13" s="41">
        <v>8.288457411402911</v>
      </c>
      <c r="D13" s="41">
        <v>2.5817649042318291</v>
      </c>
      <c r="E13" s="41">
        <v>6.3267921512663969</v>
      </c>
      <c r="F13" s="41">
        <v>2.2645210746576132</v>
      </c>
      <c r="G13" s="42">
        <v>27.522554222040799</v>
      </c>
      <c r="H13" s="41">
        <v>7.5790222355358612</v>
      </c>
      <c r="I13" s="41">
        <v>2.7562221569438532</v>
      </c>
      <c r="J13" s="41">
        <v>2.8253532529215324</v>
      </c>
      <c r="K13" s="41">
        <v>2.7734471343194449</v>
      </c>
      <c r="L13" s="42">
        <v>15.934044779720692</v>
      </c>
      <c r="M13" s="41">
        <v>6.718538934504581</v>
      </c>
      <c r="N13" s="41">
        <v>6.4130333959119179</v>
      </c>
      <c r="O13" s="41">
        <v>6.7806016841971468</v>
      </c>
      <c r="P13" s="43">
        <v>6.1193608929797705</v>
      </c>
      <c r="Q13" s="41">
        <v>10.352971390916199</v>
      </c>
      <c r="R13" s="41">
        <v>5.7771493212669753</v>
      </c>
      <c r="S13" s="41">
        <v>19.849075802291857</v>
      </c>
      <c r="T13" s="41">
        <v>1.3688411261940663</v>
      </c>
      <c r="U13" s="41">
        <v>1.7648944193061726</v>
      </c>
      <c r="V13" s="41">
        <v>37.947428429500455</v>
      </c>
      <c r="W13" s="41">
        <v>7.252812682382217</v>
      </c>
      <c r="X13" s="41">
        <v>7.9159163152110068</v>
      </c>
      <c r="Y13" s="41">
        <v>9.5669547406275015</v>
      </c>
      <c r="Z13" s="44">
        <v>5.8199720589058188</v>
      </c>
      <c r="AA13" s="34">
        <v>24.735683738220725</v>
      </c>
      <c r="AB13" s="44">
        <v>15.094645550527922</v>
      </c>
      <c r="AC13" s="44">
        <v>57.796504231792312</v>
      </c>
      <c r="AD13" s="44">
        <v>61.852825704099388</v>
      </c>
      <c r="AE13" s="34">
        <v>21.934263448969237</v>
      </c>
      <c r="AF13" s="34">
        <v>30.529411764705912</v>
      </c>
      <c r="AG13" s="41">
        <v>2.136953535805918</v>
      </c>
      <c r="AH13" s="41">
        <v>2.0301583933545144</v>
      </c>
      <c r="AI13" s="41">
        <v>1.0728382870944222</v>
      </c>
      <c r="AJ13" s="41">
        <v>2.0122746419950692</v>
      </c>
      <c r="AK13" s="41">
        <v>1.0181104030007502</v>
      </c>
      <c r="AL13" s="42">
        <v>5.3472712560626228</v>
      </c>
      <c r="AM13" s="41">
        <v>2.1922765667799551</v>
      </c>
      <c r="AN13" s="41">
        <v>0.830032438688866</v>
      </c>
      <c r="AO13" s="41">
        <v>0.80541162459134885</v>
      </c>
      <c r="AP13" s="41">
        <v>0.84606139565002259</v>
      </c>
      <c r="AQ13" s="42">
        <v>3.4521356349096126</v>
      </c>
      <c r="AR13" s="41">
        <v>2.4563440606036031</v>
      </c>
      <c r="AS13" s="41">
        <v>2.4809829306552094</v>
      </c>
      <c r="AT13" s="41">
        <v>2.5639563162927321</v>
      </c>
      <c r="AU13" s="43">
        <v>2.373544228783131</v>
      </c>
      <c r="AV13" s="41">
        <v>3.9993538415101546</v>
      </c>
      <c r="AW13" s="41">
        <v>2.389139257689846</v>
      </c>
      <c r="AX13" s="41">
        <v>6.272143061915493</v>
      </c>
      <c r="AY13" s="41">
        <v>0.67186523424731193</v>
      </c>
      <c r="AZ13" s="41">
        <v>0.89620566317101358</v>
      </c>
      <c r="BA13" s="41">
        <v>10.917608232254381</v>
      </c>
      <c r="BB13" s="41">
        <v>2.3475669159287338</v>
      </c>
      <c r="BC13" s="41">
        <v>2.1497598157667053</v>
      </c>
      <c r="BD13" s="41">
        <v>2.2731477503085862</v>
      </c>
      <c r="BE13" s="44">
        <v>1.3470436245240227</v>
      </c>
      <c r="BF13" s="34">
        <v>5.3842270589771895</v>
      </c>
      <c r="BG13" s="44">
        <v>4.0734679124110791</v>
      </c>
      <c r="BH13" s="44">
        <v>15.784846480128889</v>
      </c>
      <c r="BI13" s="44">
        <v>10.593810457263757</v>
      </c>
      <c r="BJ13" s="34">
        <v>7.2028931172290278</v>
      </c>
      <c r="BK13" s="34">
        <v>5.9164687786725842</v>
      </c>
    </row>
    <row r="14" spans="1:63" x14ac:dyDescent="0.4">
      <c r="A14" s="40" t="s">
        <v>65</v>
      </c>
      <c r="B14" s="41">
        <v>8.03440066658729</v>
      </c>
      <c r="C14" s="41">
        <v>8.3795976669444379</v>
      </c>
      <c r="D14" s="41">
        <v>2.4155457683609147</v>
      </c>
      <c r="E14" s="41">
        <v>6.5545768360909156</v>
      </c>
      <c r="F14" s="41">
        <v>2.4586358766813534</v>
      </c>
      <c r="G14" s="42">
        <v>27.842756814664913</v>
      </c>
      <c r="H14" s="41">
        <v>7.8913224616117201</v>
      </c>
      <c r="I14" s="41">
        <v>2.8466849184620906</v>
      </c>
      <c r="J14" s="41">
        <v>2.8460897512200822</v>
      </c>
      <c r="K14" s="41">
        <v>2.7866920604689929</v>
      </c>
      <c r="L14" s="42">
        <v>16.370789191762885</v>
      </c>
      <c r="M14" s="41">
        <v>6.6403999523866091</v>
      </c>
      <c r="N14" s="41">
        <v>6.3555529103678134</v>
      </c>
      <c r="O14" s="41">
        <v>6.4601833115105221</v>
      </c>
      <c r="P14" s="43">
        <v>6.0180930841566544</v>
      </c>
      <c r="Q14" s="41">
        <v>10.254374479228659</v>
      </c>
      <c r="R14" s="41">
        <v>5.634924413760265</v>
      </c>
      <c r="S14" s="41">
        <v>19.20580883228174</v>
      </c>
      <c r="T14" s="41">
        <v>1.3397214617307469</v>
      </c>
      <c r="U14" s="41">
        <v>1.7871681942625863</v>
      </c>
      <c r="V14" s="41">
        <v>37.447803832877042</v>
      </c>
      <c r="W14" s="41">
        <v>7.3885251755743431</v>
      </c>
      <c r="X14" s="41">
        <v>7.8560885608856177</v>
      </c>
      <c r="Y14" s="41">
        <v>9.5319604808950693</v>
      </c>
      <c r="Z14" s="44">
        <v>5.8026425425544721</v>
      </c>
      <c r="AA14" s="34">
        <v>24.77657421735503</v>
      </c>
      <c r="AB14" s="44">
        <v>15.244613736459947</v>
      </c>
      <c r="AC14" s="44">
        <v>56.653612665158782</v>
      </c>
      <c r="AD14" s="44">
        <v>61.695393405546994</v>
      </c>
      <c r="AE14" s="34">
        <v>21.24009046542076</v>
      </c>
      <c r="AF14" s="34">
        <v>29.898464468515616</v>
      </c>
      <c r="AG14" s="41">
        <v>2.1296953227028563</v>
      </c>
      <c r="AH14" s="41">
        <v>1.9291147439309297</v>
      </c>
      <c r="AI14" s="41">
        <v>1.0236681081062469</v>
      </c>
      <c r="AJ14" s="41">
        <v>1.9564674957643471</v>
      </c>
      <c r="AK14" s="41">
        <v>1.0301338312931072</v>
      </c>
      <c r="AL14" s="42">
        <v>5.4149625350699315</v>
      </c>
      <c r="AM14" s="41">
        <v>2.0326436400790295</v>
      </c>
      <c r="AN14" s="41">
        <v>0.77309906460168354</v>
      </c>
      <c r="AO14" s="41">
        <v>0.75372045850089897</v>
      </c>
      <c r="AP14" s="41">
        <v>0.82142096483562033</v>
      </c>
      <c r="AQ14" s="42">
        <v>3.2765035019866446</v>
      </c>
      <c r="AR14" s="41">
        <v>2.3292817270198527</v>
      </c>
      <c r="AS14" s="41">
        <v>2.4277405588405481</v>
      </c>
      <c r="AT14" s="41">
        <v>2.3860440291935117</v>
      </c>
      <c r="AU14" s="43">
        <v>2.2512760892226766</v>
      </c>
      <c r="AV14" s="41">
        <v>3.7989566509059927</v>
      </c>
      <c r="AW14" s="41">
        <v>2.2691857459545233</v>
      </c>
      <c r="AX14" s="41">
        <v>5.8896717158189045</v>
      </c>
      <c r="AY14" s="41">
        <v>0.62282334767347658</v>
      </c>
      <c r="AZ14" s="41">
        <v>0.87146952596376681</v>
      </c>
      <c r="BA14" s="41">
        <v>10.450241293527263</v>
      </c>
      <c r="BB14" s="41">
        <v>2.3040816223070362</v>
      </c>
      <c r="BC14" s="41">
        <v>2.1490587937101</v>
      </c>
      <c r="BD14" s="41">
        <v>2.2412705954988086</v>
      </c>
      <c r="BE14" s="44">
        <v>1.3203887115053898</v>
      </c>
      <c r="BF14" s="34">
        <v>5.3172185465842947</v>
      </c>
      <c r="BG14" s="44">
        <v>4.0202807111713073</v>
      </c>
      <c r="BH14" s="44">
        <v>14.942006992335415</v>
      </c>
      <c r="BI14" s="44">
        <v>10.484770768236912</v>
      </c>
      <c r="BJ14" s="34">
        <v>6.8425727681226087</v>
      </c>
      <c r="BK14" s="34">
        <v>5.7834985929967786</v>
      </c>
    </row>
    <row r="15" spans="1:63" x14ac:dyDescent="0.4">
      <c r="A15" s="40" t="s">
        <v>66</v>
      </c>
      <c r="B15" s="41">
        <v>8.4994710682466277</v>
      </c>
      <c r="C15" s="41">
        <v>8.6877615049840866</v>
      </c>
      <c r="D15" s="41">
        <v>2.1266016239938246</v>
      </c>
      <c r="E15" s="41">
        <v>6.2800447830482558</v>
      </c>
      <c r="F15" s="41">
        <v>1.9863979212436746</v>
      </c>
      <c r="G15" s="42">
        <v>27.580276901516473</v>
      </c>
      <c r="H15" s="41">
        <v>8.0286629883334601</v>
      </c>
      <c r="I15" s="41">
        <v>2.9803779384808911</v>
      </c>
      <c r="J15" s="41">
        <v>2.8888998108070263</v>
      </c>
      <c r="K15" s="41">
        <v>2.8973790433981224</v>
      </c>
      <c r="L15" s="42">
        <v>16.795319781019497</v>
      </c>
      <c r="M15" s="41">
        <v>6.7301058969532122</v>
      </c>
      <c r="N15" s="41">
        <v>6.2697227988729871</v>
      </c>
      <c r="O15" s="41">
        <v>6.4745853152167223</v>
      </c>
      <c r="P15" s="43">
        <v>6.2136725457602653</v>
      </c>
      <c r="Q15" s="41">
        <v>10.389020598874675</v>
      </c>
      <c r="R15" s="41">
        <v>5.6616612320683668</v>
      </c>
      <c r="S15" s="41">
        <v>19.126243772067106</v>
      </c>
      <c r="T15" s="41">
        <v>1.3503966445595827</v>
      </c>
      <c r="U15" s="41">
        <v>1.72974192663509</v>
      </c>
      <c r="V15" s="41">
        <v>37.616895361771434</v>
      </c>
      <c r="W15" s="41">
        <v>7.8391599180887122</v>
      </c>
      <c r="X15" s="41">
        <v>8.0979877113286776</v>
      </c>
      <c r="Y15" s="41">
        <v>9.5176147947708127</v>
      </c>
      <c r="Z15" s="44">
        <v>5.831890894054192</v>
      </c>
      <c r="AA15" s="34">
        <v>25.454762424188203</v>
      </c>
      <c r="AB15" s="44">
        <v>15.964388264808207</v>
      </c>
      <c r="AC15" s="44">
        <v>56.74313913383854</v>
      </c>
      <c r="AD15" s="44">
        <v>60.330194696308773</v>
      </c>
      <c r="AE15" s="34">
        <v>21.442930819113059</v>
      </c>
      <c r="AF15" s="34">
        <v>29.542700309558196</v>
      </c>
      <c r="AG15" s="41">
        <v>2.1376474859009864</v>
      </c>
      <c r="AH15" s="41">
        <v>1.8585974427159238</v>
      </c>
      <c r="AI15" s="41">
        <v>0.92052458540120419</v>
      </c>
      <c r="AJ15" s="41">
        <v>1.8091683787449555</v>
      </c>
      <c r="AK15" s="41">
        <v>0.87687089129678164</v>
      </c>
      <c r="AL15" s="42">
        <v>5.1131187967717358</v>
      </c>
      <c r="AM15" s="41">
        <v>1.874449572161538</v>
      </c>
      <c r="AN15" s="41">
        <v>0.74916605911004064</v>
      </c>
      <c r="AO15" s="41">
        <v>0.71460946184029939</v>
      </c>
      <c r="AP15" s="41">
        <v>0.75645337047506012</v>
      </c>
      <c r="AQ15" s="42">
        <v>3.0335586076179335</v>
      </c>
      <c r="AR15" s="41">
        <v>2.2140887689354871</v>
      </c>
      <c r="AS15" s="41">
        <v>2.2628488629198382</v>
      </c>
      <c r="AT15" s="41">
        <v>2.3509365095057557</v>
      </c>
      <c r="AU15" s="43">
        <v>2.1983804716789095</v>
      </c>
      <c r="AV15" s="41">
        <v>3.771627560589609</v>
      </c>
      <c r="AW15" s="41">
        <v>2.2306395880521817</v>
      </c>
      <c r="AX15" s="41">
        <v>5.6658818122595482</v>
      </c>
      <c r="AY15" s="41">
        <v>0.62059543230299063</v>
      </c>
      <c r="AZ15" s="41">
        <v>0.84622384332554246</v>
      </c>
      <c r="BA15" s="41">
        <v>10.135895850780177</v>
      </c>
      <c r="BB15" s="41">
        <v>2.1534681882218445</v>
      </c>
      <c r="BC15" s="41">
        <v>2.0375771922767489</v>
      </c>
      <c r="BD15" s="41">
        <v>2.1696047554453295</v>
      </c>
      <c r="BE15" s="44">
        <v>1.2398519730765085</v>
      </c>
      <c r="BF15" s="34">
        <v>5.1130336291502232</v>
      </c>
      <c r="BG15" s="44">
        <v>3.8149362474016599</v>
      </c>
      <c r="BH15" s="44">
        <v>14.378461011560857</v>
      </c>
      <c r="BI15" s="44">
        <v>9.8628666884288219</v>
      </c>
      <c r="BJ15" s="34">
        <v>6.7437640499382701</v>
      </c>
      <c r="BK15" s="34">
        <v>5.4764782535966168</v>
      </c>
    </row>
    <row r="16" spans="1:63" x14ac:dyDescent="0.4">
      <c r="A16" s="40" t="s">
        <v>67</v>
      </c>
      <c r="B16" s="41">
        <v>8.4333814364662079</v>
      </c>
      <c r="C16" s="41">
        <v>8.4712755855023509</v>
      </c>
      <c r="D16" s="41">
        <v>2.2273624384930417</v>
      </c>
      <c r="E16" s="41">
        <v>6.5568654970153846</v>
      </c>
      <c r="F16" s="41">
        <v>2.276857505292349</v>
      </c>
      <c r="G16" s="42">
        <v>27.965742462769335</v>
      </c>
      <c r="H16" s="41">
        <v>7.8117533674367889</v>
      </c>
      <c r="I16" s="41">
        <v>2.7991066469508499</v>
      </c>
      <c r="J16" s="41">
        <v>2.7817611990793991</v>
      </c>
      <c r="K16" s="41">
        <v>2.6936393449555274</v>
      </c>
      <c r="L16" s="42">
        <v>16.086260558422566</v>
      </c>
      <c r="M16" s="41">
        <v>6.376432114424504</v>
      </c>
      <c r="N16" s="41">
        <v>6.4805338718868288</v>
      </c>
      <c r="O16" s="41">
        <v>6.7427716132217137</v>
      </c>
      <c r="P16" s="43">
        <v>6.178530646996875</v>
      </c>
      <c r="Q16" s="41">
        <v>10.692761969502504</v>
      </c>
      <c r="R16" s="41">
        <v>5.9187399729825581</v>
      </c>
      <c r="S16" s="41">
        <v>19.919465157656862</v>
      </c>
      <c r="T16" s="41">
        <v>1.3785643141919144</v>
      </c>
      <c r="U16" s="41">
        <v>1.8409819506650105</v>
      </c>
      <c r="V16" s="41">
        <v>38.718165987183419</v>
      </c>
      <c r="W16" s="41">
        <v>7.4067018029234788</v>
      </c>
      <c r="X16" s="41">
        <v>7.8435455533405891</v>
      </c>
      <c r="Y16" s="41">
        <v>9.4606358472948315</v>
      </c>
      <c r="Z16" s="44">
        <v>5.6593428372569647</v>
      </c>
      <c r="AA16" s="34">
        <v>24.7108832035589</v>
      </c>
      <c r="AB16" s="44">
        <v>15.269127723429316</v>
      </c>
      <c r="AC16" s="44">
        <v>58.637631144840284</v>
      </c>
      <c r="AD16" s="44">
        <v>62.168598700787868</v>
      </c>
      <c r="AE16" s="34">
        <v>22.173847004497489</v>
      </c>
      <c r="AF16" s="34">
        <v>30.47910953985296</v>
      </c>
      <c r="AG16" s="41">
        <v>2.0956467049448997</v>
      </c>
      <c r="AH16" s="41">
        <v>1.8681272858962774</v>
      </c>
      <c r="AI16" s="41">
        <v>1.0214926415530259</v>
      </c>
      <c r="AJ16" s="41">
        <v>1.9053726382003844</v>
      </c>
      <c r="AK16" s="41">
        <v>0.99638685882940625</v>
      </c>
      <c r="AL16" s="42">
        <v>5.1503811890347801</v>
      </c>
      <c r="AM16" s="41">
        <v>2.0075642521461949</v>
      </c>
      <c r="AN16" s="41">
        <v>0.78921589347339927</v>
      </c>
      <c r="AO16" s="41">
        <v>0.76241812969790501</v>
      </c>
      <c r="AP16" s="41">
        <v>0.82592454234279422</v>
      </c>
      <c r="AQ16" s="42">
        <v>3.2915132780578005</v>
      </c>
      <c r="AR16" s="41">
        <v>2.2829117823291547</v>
      </c>
      <c r="AS16" s="41">
        <v>2.4048459720679922</v>
      </c>
      <c r="AT16" s="41">
        <v>2.4532589507719602</v>
      </c>
      <c r="AU16" s="43">
        <v>2.2875907539510534</v>
      </c>
      <c r="AV16" s="41">
        <v>3.955286448667219</v>
      </c>
      <c r="AW16" s="41">
        <v>2.3547178099098343</v>
      </c>
      <c r="AX16" s="41">
        <v>6.0233218984990335</v>
      </c>
      <c r="AY16" s="41">
        <v>0.65292830051762829</v>
      </c>
      <c r="AZ16" s="41">
        <v>0.90113163526370788</v>
      </c>
      <c r="BA16" s="41">
        <v>10.626152963142472</v>
      </c>
      <c r="BB16" s="41">
        <v>2.2381380676300644</v>
      </c>
      <c r="BC16" s="41">
        <v>2.0805010181882224</v>
      </c>
      <c r="BD16" s="41">
        <v>2.2467948163311817</v>
      </c>
      <c r="BE16" s="44">
        <v>1.3085501244445181</v>
      </c>
      <c r="BF16" s="34">
        <v>5.2211403339764813</v>
      </c>
      <c r="BG16" s="44">
        <v>3.8986354063898649</v>
      </c>
      <c r="BH16" s="44">
        <v>15.255941146695369</v>
      </c>
      <c r="BI16" s="44">
        <v>10.298271070233834</v>
      </c>
      <c r="BJ16" s="34">
        <v>7.0494661644750067</v>
      </c>
      <c r="BK16" s="34">
        <v>5.6335695425851959</v>
      </c>
    </row>
    <row r="17" spans="1:63" x14ac:dyDescent="0.4">
      <c r="A17" s="40" t="s">
        <v>68</v>
      </c>
      <c r="B17" s="41">
        <v>8.189278357688794</v>
      </c>
      <c r="C17" s="41">
        <v>8.5314520174077266</v>
      </c>
      <c r="D17" s="41">
        <v>2.1148243115481837</v>
      </c>
      <c r="E17" s="41">
        <v>6.2183973033209519</v>
      </c>
      <c r="F17" s="41">
        <v>1.9797665668420175</v>
      </c>
      <c r="G17" s="42">
        <v>27.033718556807674</v>
      </c>
      <c r="H17" s="41">
        <v>8.0533439671586589</v>
      </c>
      <c r="I17" s="41">
        <v>2.9217627420727474</v>
      </c>
      <c r="J17" s="41">
        <v>2.8363490318372149</v>
      </c>
      <c r="K17" s="41">
        <v>2.8277155441401662</v>
      </c>
      <c r="L17" s="42">
        <v>16.639171285208786</v>
      </c>
      <c r="M17" s="41">
        <v>6.7075799095912858</v>
      </c>
      <c r="N17" s="41">
        <v>5.9881759511209314</v>
      </c>
      <c r="O17" s="41">
        <v>6.252637462120946</v>
      </c>
      <c r="P17" s="43">
        <v>5.96521754540698</v>
      </c>
      <c r="Q17" s="41">
        <v>10.133392919839233</v>
      </c>
      <c r="R17" s="41">
        <v>5.525481298677108</v>
      </c>
      <c r="S17" s="41">
        <v>18.712225184731103</v>
      </c>
      <c r="T17" s="41">
        <v>1.3240058910161923</v>
      </c>
      <c r="U17" s="41">
        <v>1.7421419947193084</v>
      </c>
      <c r="V17" s="41">
        <v>36.631843968896803</v>
      </c>
      <c r="W17" s="41">
        <v>7.9563293169587199</v>
      </c>
      <c r="X17" s="41">
        <v>8.2536873618788729</v>
      </c>
      <c r="Y17" s="41">
        <v>9.5688090206528589</v>
      </c>
      <c r="Z17" s="44">
        <v>5.8387984749873443</v>
      </c>
      <c r="AA17" s="34">
        <v>25.778825699490454</v>
      </c>
      <c r="AB17" s="44">
        <v>16.21751648555756</v>
      </c>
      <c r="AC17" s="44">
        <v>55.344069153627906</v>
      </c>
      <c r="AD17" s="44">
        <v>59.615721572108434</v>
      </c>
      <c r="AE17" s="34">
        <v>20.817239183218383</v>
      </c>
      <c r="AF17" s="34">
        <v>28.922859531107015</v>
      </c>
      <c r="AG17" s="41">
        <v>2.1713871329750258</v>
      </c>
      <c r="AH17" s="41">
        <v>1.8438805395082738</v>
      </c>
      <c r="AI17" s="41">
        <v>0.93112477727477772</v>
      </c>
      <c r="AJ17" s="41">
        <v>1.8069927108739499</v>
      </c>
      <c r="AK17" s="41">
        <v>0.88566053070815209</v>
      </c>
      <c r="AL17" s="42">
        <v>5.0626606651867627</v>
      </c>
      <c r="AM17" s="41">
        <v>1.8716447229147233</v>
      </c>
      <c r="AN17" s="41">
        <v>0.74462472225110898</v>
      </c>
      <c r="AO17" s="41">
        <v>0.73068032721079013</v>
      </c>
      <c r="AP17" s="41">
        <v>0.76883546017809135</v>
      </c>
      <c r="AQ17" s="42">
        <v>3.0697039005985771</v>
      </c>
      <c r="AR17" s="41">
        <v>2.2190680782101513</v>
      </c>
      <c r="AS17" s="41">
        <v>2.297780572839442</v>
      </c>
      <c r="AT17" s="41">
        <v>2.3394424011191322</v>
      </c>
      <c r="AU17" s="43">
        <v>2.1735594571216628</v>
      </c>
      <c r="AV17" s="41">
        <v>3.7963991985729191</v>
      </c>
      <c r="AW17" s="41">
        <v>2.2525527634059701</v>
      </c>
      <c r="AX17" s="41">
        <v>5.7557868735145332</v>
      </c>
      <c r="AY17" s="41">
        <v>0.60635841493351839</v>
      </c>
      <c r="AZ17" s="41">
        <v>0.85485179429249203</v>
      </c>
      <c r="BA17" s="41">
        <v>10.254853775487538</v>
      </c>
      <c r="BB17" s="41">
        <v>2.1755083894643921</v>
      </c>
      <c r="BC17" s="41">
        <v>2.0372099943881596</v>
      </c>
      <c r="BD17" s="41">
        <v>2.1738289986259356</v>
      </c>
      <c r="BE17" s="44">
        <v>1.2477013999215061</v>
      </c>
      <c r="BF17" s="34">
        <v>5.1999449375683868</v>
      </c>
      <c r="BG17" s="44">
        <v>3.8682828981345634</v>
      </c>
      <c r="BH17" s="44">
        <v>14.681861288214105</v>
      </c>
      <c r="BI17" s="44">
        <v>10.000863801961909</v>
      </c>
      <c r="BJ17" s="34">
        <v>6.7949265756324841</v>
      </c>
      <c r="BK17" s="34">
        <v>5.5435286460690953</v>
      </c>
    </row>
    <row r="18" spans="1:63" x14ac:dyDescent="0.4">
      <c r="A18" s="40" t="s">
        <v>69</v>
      </c>
      <c r="B18" s="41">
        <v>8.4023213084337431</v>
      </c>
      <c r="C18" s="41">
        <v>8.6659294758162613</v>
      </c>
      <c r="D18" s="41">
        <v>1.6110934300118136</v>
      </c>
      <c r="E18" s="41">
        <v>6.1152409878811609</v>
      </c>
      <c r="F18" s="41">
        <v>1.9610899230493464</v>
      </c>
      <c r="G18" s="42">
        <v>26.755675125192326</v>
      </c>
      <c r="H18" s="41">
        <v>8.1159744887700196</v>
      </c>
      <c r="I18" s="41">
        <v>3.0052454100961645</v>
      </c>
      <c r="J18" s="41">
        <v>2.8633616308696044</v>
      </c>
      <c r="K18" s="41">
        <v>2.8203467816745715</v>
      </c>
      <c r="L18" s="42">
        <v>16.804928311410361</v>
      </c>
      <c r="M18" s="41">
        <v>6.4757419869941284</v>
      </c>
      <c r="N18" s="41">
        <v>6.11627355415441</v>
      </c>
      <c r="O18" s="41">
        <v>6.6311140767507339</v>
      </c>
      <c r="P18" s="43">
        <v>6.2440522234186018</v>
      </c>
      <c r="Q18" s="41">
        <v>10.746315502231075</v>
      </c>
      <c r="R18" s="41">
        <v>5.8380338678664421</v>
      </c>
      <c r="S18" s="41">
        <v>19.894278694868344</v>
      </c>
      <c r="T18" s="41">
        <v>1.3698977468275431</v>
      </c>
      <c r="U18" s="41">
        <v>1.8229340232999509</v>
      </c>
      <c r="V18" s="41">
        <v>38.262013369560691</v>
      </c>
      <c r="W18" s="41">
        <v>7.8002444420059991</v>
      </c>
      <c r="X18" s="41">
        <v>7.9916310955708267</v>
      </c>
      <c r="Y18" s="41">
        <v>9.4041607157980422</v>
      </c>
      <c r="Z18" s="44">
        <v>5.7193576727230138</v>
      </c>
      <c r="AA18" s="34">
        <v>25.196036253374867</v>
      </c>
      <c r="AB18" s="44">
        <v>15.80617612982728</v>
      </c>
      <c r="AC18" s="44">
        <v>58.156292064429039</v>
      </c>
      <c r="AD18" s="44">
        <v>59.754710560407091</v>
      </c>
      <c r="AE18" s="34">
        <v>21.903238176337435</v>
      </c>
      <c r="AF18" s="34">
        <v>29.503314050839254</v>
      </c>
      <c r="AG18" s="41">
        <v>2.1494969542084399</v>
      </c>
      <c r="AH18" s="41">
        <v>1.7962510134431799</v>
      </c>
      <c r="AI18" s="41">
        <v>0.77156925142320132</v>
      </c>
      <c r="AJ18" s="41">
        <v>1.8380968786333234</v>
      </c>
      <c r="AK18" s="41">
        <v>0.89045082060305503</v>
      </c>
      <c r="AL18" s="42">
        <v>4.9046752557261843</v>
      </c>
      <c r="AM18" s="41">
        <v>1.9534736018104111</v>
      </c>
      <c r="AN18" s="41">
        <v>0.78602174317210161</v>
      </c>
      <c r="AO18" s="41">
        <v>0.74688634886490379</v>
      </c>
      <c r="AP18" s="41">
        <v>0.79879108785679975</v>
      </c>
      <c r="AQ18" s="42">
        <v>3.2566388346560142</v>
      </c>
      <c r="AR18" s="41">
        <v>2.2397349859388838</v>
      </c>
      <c r="AS18" s="41">
        <v>2.3306061350877756</v>
      </c>
      <c r="AT18" s="41">
        <v>2.4327072997874888</v>
      </c>
      <c r="AU18" s="43">
        <v>2.246474257964775</v>
      </c>
      <c r="AV18" s="41">
        <v>3.9579151320089361</v>
      </c>
      <c r="AW18" s="41">
        <v>2.3549487621442626</v>
      </c>
      <c r="AX18" s="41">
        <v>5.8411090939773755</v>
      </c>
      <c r="AY18" s="41">
        <v>0.64785152883050989</v>
      </c>
      <c r="AZ18" s="41">
        <v>0.8995336653630519</v>
      </c>
      <c r="BA18" s="41">
        <v>10.526069185814526</v>
      </c>
      <c r="BB18" s="41">
        <v>2.2076287854340304</v>
      </c>
      <c r="BC18" s="41">
        <v>2.1186244314336387</v>
      </c>
      <c r="BD18" s="41">
        <v>2.2684685286330799</v>
      </c>
      <c r="BE18" s="44">
        <v>1.2736360992200859</v>
      </c>
      <c r="BF18" s="34">
        <v>5.3130926151115432</v>
      </c>
      <c r="BG18" s="44">
        <v>3.9403212360540438</v>
      </c>
      <c r="BH18" s="44">
        <v>14.944482245636822</v>
      </c>
      <c r="BI18" s="44">
        <v>10.122536804050315</v>
      </c>
      <c r="BJ18" s="34">
        <v>7.0364544320932412</v>
      </c>
      <c r="BK18" s="34">
        <v>5.6675555041908314</v>
      </c>
    </row>
    <row r="19" spans="1:63" x14ac:dyDescent="0.4">
      <c r="A19" s="40" t="s">
        <v>70</v>
      </c>
      <c r="B19" s="41">
        <v>7.932016166320059</v>
      </c>
      <c r="C19" s="41">
        <v>8.2532565188592972</v>
      </c>
      <c r="D19" s="41">
        <v>2.5355059197633714</v>
      </c>
      <c r="E19" s="41">
        <v>6.5013804663068173</v>
      </c>
      <c r="F19" s="41">
        <v>2.314891225483267</v>
      </c>
      <c r="G19" s="42">
        <v>27.537050296732808</v>
      </c>
      <c r="H19" s="41">
        <v>7.4390878635777939</v>
      </c>
      <c r="I19" s="41">
        <v>2.7361995082642458</v>
      </c>
      <c r="J19" s="41">
        <v>2.8639097003191614</v>
      </c>
      <c r="K19" s="41">
        <v>2.7142988144903901</v>
      </c>
      <c r="L19" s="42">
        <v>15.753495886651592</v>
      </c>
      <c r="M19" s="41">
        <v>6.5424498924137673</v>
      </c>
      <c r="N19" s="41">
        <v>6.5107054729346965</v>
      </c>
      <c r="O19" s="41">
        <v>6.6550897164667742</v>
      </c>
      <c r="P19" s="43">
        <v>6.0692958712088645</v>
      </c>
      <c r="Q19" s="41">
        <v>10.316942370580835</v>
      </c>
      <c r="R19" s="41">
        <v>5.6774416002017425</v>
      </c>
      <c r="S19" s="41">
        <v>19.491219011360958</v>
      </c>
      <c r="T19" s="41">
        <v>1.349786025030753</v>
      </c>
      <c r="U19" s="41">
        <v>1.7805633492009083</v>
      </c>
      <c r="V19" s="41">
        <v>38.009583538777399</v>
      </c>
      <c r="W19" s="41">
        <v>7.2676141556216862</v>
      </c>
      <c r="X19" s="41">
        <v>7.8276645863064989</v>
      </c>
      <c r="Y19" s="41">
        <v>9.4858024922994737</v>
      </c>
      <c r="Z19" s="44">
        <v>5.70641197945604</v>
      </c>
      <c r="AA19" s="34">
        <v>24.581081234227661</v>
      </c>
      <c r="AB19" s="44">
        <v>15.076073421392385</v>
      </c>
      <c r="AC19" s="44">
        <v>57.50080255013836</v>
      </c>
      <c r="AD19" s="44">
        <v>62.202473175853555</v>
      </c>
      <c r="AE19" s="34">
        <v>21.516184073641536</v>
      </c>
      <c r="AF19" s="34">
        <v>30.456834589073836</v>
      </c>
      <c r="AG19" s="41">
        <v>2.1301421408279562</v>
      </c>
      <c r="AH19" s="41">
        <v>1.937229401114674</v>
      </c>
      <c r="AI19" s="41">
        <v>1.0683134955762557</v>
      </c>
      <c r="AJ19" s="41">
        <v>1.9968219331084032</v>
      </c>
      <c r="AK19" s="41">
        <v>0.97844264625610089</v>
      </c>
      <c r="AL19" s="42">
        <v>5.4325466255032744</v>
      </c>
      <c r="AM19" s="41">
        <v>2.1161028736636358</v>
      </c>
      <c r="AN19" s="41">
        <v>0.79040753837537092</v>
      </c>
      <c r="AO19" s="41">
        <v>0.77258960230744755</v>
      </c>
      <c r="AP19" s="41">
        <v>0.84715807231775886</v>
      </c>
      <c r="AQ19" s="42">
        <v>3.3115125170776989</v>
      </c>
      <c r="AR19" s="41">
        <v>2.3775121980843075</v>
      </c>
      <c r="AS19" s="41">
        <v>2.4868503811243747</v>
      </c>
      <c r="AT19" s="41">
        <v>2.5303403948059509</v>
      </c>
      <c r="AU19" s="43">
        <v>2.3222078418214362</v>
      </c>
      <c r="AV19" s="41">
        <v>3.962491569050461</v>
      </c>
      <c r="AW19" s="41">
        <v>2.3664510482871424</v>
      </c>
      <c r="AX19" s="41">
        <v>6.126611910112798</v>
      </c>
      <c r="AY19" s="41">
        <v>0.64753136580266768</v>
      </c>
      <c r="AZ19" s="41">
        <v>0.89415057927072183</v>
      </c>
      <c r="BA19" s="41">
        <v>10.860867962015837</v>
      </c>
      <c r="BB19" s="41">
        <v>2.3060193903905932</v>
      </c>
      <c r="BC19" s="41">
        <v>2.1563431130217476</v>
      </c>
      <c r="BD19" s="41">
        <v>2.3243001421914964</v>
      </c>
      <c r="BE19" s="44">
        <v>1.3786168647151973</v>
      </c>
      <c r="BF19" s="34">
        <v>5.4274391287007351</v>
      </c>
      <c r="BG19" s="44">
        <v>4.0417186665357905</v>
      </c>
      <c r="BH19" s="44">
        <v>15.651647942339812</v>
      </c>
      <c r="BI19" s="44">
        <v>10.62767121294133</v>
      </c>
      <c r="BJ19" s="34">
        <v>7.1622028787508141</v>
      </c>
      <c r="BK19" s="34">
        <v>5.8347859115807132</v>
      </c>
    </row>
    <row r="20" spans="1:63" x14ac:dyDescent="0.4">
      <c r="A20" s="40" t="s">
        <v>71</v>
      </c>
      <c r="B20" s="41">
        <v>8.6200386003194787</v>
      </c>
      <c r="C20" s="41">
        <v>8.5025727450978827</v>
      </c>
      <c r="D20" s="41">
        <v>2.345234773540998</v>
      </c>
      <c r="E20" s="41">
        <v>6.3220037878635784</v>
      </c>
      <c r="F20" s="41">
        <v>2.1157323039704634</v>
      </c>
      <c r="G20" s="42">
        <v>27.905582210792403</v>
      </c>
      <c r="H20" s="41">
        <v>7.8381051595354281</v>
      </c>
      <c r="I20" s="41">
        <v>2.8093681072594507</v>
      </c>
      <c r="J20" s="41">
        <v>2.8779775050505534</v>
      </c>
      <c r="K20" s="41">
        <v>2.8144894059345607</v>
      </c>
      <c r="L20" s="42">
        <v>16.339940177779994</v>
      </c>
      <c r="M20" s="41">
        <v>6.6480497225933766</v>
      </c>
      <c r="N20" s="41">
        <v>6.5099142052698236</v>
      </c>
      <c r="O20" s="41">
        <v>6.8539948225234983</v>
      </c>
      <c r="P20" s="43">
        <v>6.2528318069145614</v>
      </c>
      <c r="Q20" s="41">
        <v>10.53146026502192</v>
      </c>
      <c r="R20" s="41">
        <v>5.7783075824565948</v>
      </c>
      <c r="S20" s="41">
        <v>19.919301561848417</v>
      </c>
      <c r="T20" s="41">
        <v>1.3689507044683118</v>
      </c>
      <c r="U20" s="41">
        <v>1.7790498433410884</v>
      </c>
      <c r="V20" s="41">
        <v>38.500151377136419</v>
      </c>
      <c r="W20" s="41">
        <v>7.6247734570597538</v>
      </c>
      <c r="X20" s="41">
        <v>8.124167523363834</v>
      </c>
      <c r="Y20" s="41">
        <v>9.6686630909752189</v>
      </c>
      <c r="Z20" s="44">
        <v>5.7749875404615283</v>
      </c>
      <c r="AA20" s="34">
        <v>25.417604071398806</v>
      </c>
      <c r="AB20" s="44">
        <v>15.751367694088435</v>
      </c>
      <c r="AC20" s="44">
        <v>58.419452938984833</v>
      </c>
      <c r="AD20" s="44">
        <v>61.148037961613603</v>
      </c>
      <c r="AE20" s="34">
        <v>22.006648984826768</v>
      </c>
      <c r="AF20" s="34">
        <v>30.101737831364751</v>
      </c>
      <c r="AG20" s="41">
        <v>2.0588197656876672</v>
      </c>
      <c r="AH20" s="41">
        <v>1.8507778210542674</v>
      </c>
      <c r="AI20" s="41">
        <v>1.0178618354252789</v>
      </c>
      <c r="AJ20" s="41">
        <v>1.8873469530859242</v>
      </c>
      <c r="AK20" s="41">
        <v>0.93281670922848181</v>
      </c>
      <c r="AL20" s="42">
        <v>5.0013232438063717</v>
      </c>
      <c r="AM20" s="41">
        <v>1.9651402572617889</v>
      </c>
      <c r="AN20" s="41">
        <v>0.78116353424261176</v>
      </c>
      <c r="AO20" s="41">
        <v>0.73212363408143788</v>
      </c>
      <c r="AP20" s="41">
        <v>0.79695189936726629</v>
      </c>
      <c r="AQ20" s="42">
        <v>3.1884779965149774</v>
      </c>
      <c r="AR20" s="41">
        <v>2.2898815695854702</v>
      </c>
      <c r="AS20" s="41">
        <v>2.3633631366699133</v>
      </c>
      <c r="AT20" s="41">
        <v>2.454607816700336</v>
      </c>
      <c r="AU20" s="43">
        <v>2.2900966124275715</v>
      </c>
      <c r="AV20" s="41">
        <v>3.8641547025453984</v>
      </c>
      <c r="AW20" s="41">
        <v>2.3133962709533606</v>
      </c>
      <c r="AX20" s="41">
        <v>5.9785684790459337</v>
      </c>
      <c r="AY20" s="41">
        <v>0.64575800251735727</v>
      </c>
      <c r="AZ20" s="41">
        <v>0.88438134380060085</v>
      </c>
      <c r="BA20" s="41">
        <v>10.543699530372717</v>
      </c>
      <c r="BB20" s="41">
        <v>2.2739498995980276</v>
      </c>
      <c r="BC20" s="41">
        <v>2.0954647385839915</v>
      </c>
      <c r="BD20" s="41">
        <v>2.1911516422884003</v>
      </c>
      <c r="BE20" s="44">
        <v>1.2695981174420552</v>
      </c>
      <c r="BF20" s="34">
        <v>5.1974804832507662</v>
      </c>
      <c r="BG20" s="44">
        <v>3.9244427292506061</v>
      </c>
      <c r="BH20" s="44">
        <v>15.128241325395404</v>
      </c>
      <c r="BI20" s="44">
        <v>10.110579990829807</v>
      </c>
      <c r="BJ20" s="34">
        <v>6.9851457052708534</v>
      </c>
      <c r="BK20" s="34">
        <v>5.6181969464118033</v>
      </c>
    </row>
    <row r="21" spans="1:63" x14ac:dyDescent="0.4">
      <c r="A21" s="40" t="s">
        <v>72</v>
      </c>
      <c r="B21" s="41">
        <v>8.5335062502227021</v>
      </c>
      <c r="C21" s="41">
        <v>9.0208312103379527</v>
      </c>
      <c r="D21" s="41">
        <v>1.9658872068545372</v>
      </c>
      <c r="E21" s="41">
        <v>6.1044019681785073</v>
      </c>
      <c r="F21" s="41">
        <v>1.9508569051318418</v>
      </c>
      <c r="G21" s="42">
        <v>27.575483540725539</v>
      </c>
      <c r="H21" s="41">
        <v>7.8851212166445697</v>
      </c>
      <c r="I21" s="41">
        <v>2.9190036214446455</v>
      </c>
      <c r="J21" s="41">
        <v>2.7551320769507939</v>
      </c>
      <c r="K21" s="41">
        <v>2.8565497500576531</v>
      </c>
      <c r="L21" s="42">
        <v>16.415806665097662</v>
      </c>
      <c r="M21" s="41">
        <v>6.6019385952177387</v>
      </c>
      <c r="N21" s="41">
        <v>6.1707688506016805</v>
      </c>
      <c r="O21" s="41">
        <v>6.7177804784770183</v>
      </c>
      <c r="P21" s="43">
        <v>6.3583556149670093</v>
      </c>
      <c r="Q21" s="41">
        <v>10.468150187997434</v>
      </c>
      <c r="R21" s="41">
        <v>5.7546584565366006</v>
      </c>
      <c r="S21" s="41">
        <v>19.658128911793792</v>
      </c>
      <c r="T21" s="41">
        <v>1.344199231131012</v>
      </c>
      <c r="U21" s="41">
        <v>1.7336308610923303</v>
      </c>
      <c r="V21" s="41">
        <v>38.113116536825402</v>
      </c>
      <c r="W21" s="41">
        <v>7.800840415822071</v>
      </c>
      <c r="X21" s="41">
        <v>8.3464435850665915</v>
      </c>
      <c r="Y21" s="41">
        <v>9.8340046060853723</v>
      </c>
      <c r="Z21" s="44">
        <v>5.8581821773783673</v>
      </c>
      <c r="AA21" s="34">
        <v>25.981288606974033</v>
      </c>
      <c r="AB21" s="44">
        <v>16.168940300185383</v>
      </c>
      <c r="AC21" s="44">
        <v>57.771245448619197</v>
      </c>
      <c r="AD21" s="44">
        <v>60.178388268653848</v>
      </c>
      <c r="AE21" s="34">
        <v>21.935549710652115</v>
      </c>
      <c r="AF21" s="34">
        <v>29.490176983007764</v>
      </c>
      <c r="AG21" s="41">
        <v>2.011719590426079</v>
      </c>
      <c r="AH21" s="41">
        <v>1.7818560508410097</v>
      </c>
      <c r="AI21" s="41">
        <v>0.83987025089338629</v>
      </c>
      <c r="AJ21" s="41">
        <v>1.7877893606902724</v>
      </c>
      <c r="AK21" s="41">
        <v>0.84579714220344571</v>
      </c>
      <c r="AL21" s="42">
        <v>4.7573661455131031</v>
      </c>
      <c r="AM21" s="41">
        <v>1.9424207926870758</v>
      </c>
      <c r="AN21" s="41">
        <v>0.72033322364200991</v>
      </c>
      <c r="AO21" s="41">
        <v>0.77917519597559626</v>
      </c>
      <c r="AP21" s="41">
        <v>0.77604558147331004</v>
      </c>
      <c r="AQ21" s="42">
        <v>3.178061702413606</v>
      </c>
      <c r="AR21" s="41">
        <v>2.3236944709053216</v>
      </c>
      <c r="AS21" s="41">
        <v>2.3256801752963852</v>
      </c>
      <c r="AT21" s="41">
        <v>2.4994212721953253</v>
      </c>
      <c r="AU21" s="43">
        <v>2.3150605643379176</v>
      </c>
      <c r="AV21" s="41">
        <v>3.9741062372861795</v>
      </c>
      <c r="AW21" s="41">
        <v>2.3481169788564267</v>
      </c>
      <c r="AX21" s="41">
        <v>5.9872417082719984</v>
      </c>
      <c r="AY21" s="41">
        <v>0.62561478552348604</v>
      </c>
      <c r="AZ21" s="41">
        <v>0.87239941708890723</v>
      </c>
      <c r="BA21" s="41">
        <v>10.527642197936125</v>
      </c>
      <c r="BB21" s="41">
        <v>2.2440777942776897</v>
      </c>
      <c r="BC21" s="41">
        <v>2.0964852954491597</v>
      </c>
      <c r="BD21" s="41">
        <v>2.1112179847069039</v>
      </c>
      <c r="BE21" s="44">
        <v>1.2638953447318493</v>
      </c>
      <c r="BF21" s="34">
        <v>5.1586773785125564</v>
      </c>
      <c r="BG21" s="44">
        <v>3.9266600001946359</v>
      </c>
      <c r="BH21" s="44">
        <v>15.119470750355418</v>
      </c>
      <c r="BI21" s="44">
        <v>9.819945629781671</v>
      </c>
      <c r="BJ21" s="34">
        <v>7.043082746313087</v>
      </c>
      <c r="BK21" s="34">
        <v>5.5979625881913533</v>
      </c>
    </row>
    <row r="22" spans="1:63" x14ac:dyDescent="0.4">
      <c r="A22" s="40" t="s">
        <v>73</v>
      </c>
      <c r="B22" s="41">
        <v>8.2983048348665509</v>
      </c>
      <c r="C22" s="41">
        <v>8.3601812313489621</v>
      </c>
      <c r="D22" s="41">
        <v>2.1023858513667539</v>
      </c>
      <c r="E22" s="41">
        <v>6.0956674431874163</v>
      </c>
      <c r="F22" s="41">
        <v>1.9603341620257095</v>
      </c>
      <c r="G22" s="42">
        <v>26.816873522795394</v>
      </c>
      <c r="H22" s="41">
        <v>8.1360404524521073</v>
      </c>
      <c r="I22" s="41">
        <v>2.858337837842166</v>
      </c>
      <c r="J22" s="41">
        <v>2.9108822217155295</v>
      </c>
      <c r="K22" s="41">
        <v>2.8376900526018738</v>
      </c>
      <c r="L22" s="42">
        <v>16.742950564611679</v>
      </c>
      <c r="M22" s="41">
        <v>6.7660001407109176</v>
      </c>
      <c r="N22" s="41">
        <v>6.1201730775900813</v>
      </c>
      <c r="O22" s="41">
        <v>6.4192521817654784</v>
      </c>
      <c r="P22" s="43">
        <v>6.0506434834833609</v>
      </c>
      <c r="Q22" s="41">
        <v>10.118525170726544</v>
      </c>
      <c r="R22" s="41">
        <v>5.4993372597566674</v>
      </c>
      <c r="S22" s="41">
        <v>19.236453845040025</v>
      </c>
      <c r="T22" s="41">
        <v>1.3425866876742876</v>
      </c>
      <c r="U22" s="41">
        <v>1.7409185829863456</v>
      </c>
      <c r="V22" s="41">
        <v>36.942593772854543</v>
      </c>
      <c r="W22" s="41">
        <v>7.7855973727919716</v>
      </c>
      <c r="X22" s="41">
        <v>8.1369422859933689</v>
      </c>
      <c r="Y22" s="41">
        <v>9.6963981638507057</v>
      </c>
      <c r="Z22" s="44">
        <v>5.902126649100528</v>
      </c>
      <c r="AA22" s="34">
        <v>25.618937822636045</v>
      </c>
      <c r="AB22" s="44">
        <v>15.91531305098091</v>
      </c>
      <c r="AC22" s="44">
        <v>56.179047617894568</v>
      </c>
      <c r="AD22" s="44">
        <v>59.454985135547673</v>
      </c>
      <c r="AE22" s="34">
        <v>20.982981330732528</v>
      </c>
      <c r="AF22" s="34">
        <v>29.224737717422158</v>
      </c>
      <c r="AG22" s="41">
        <v>2.214320415545644</v>
      </c>
      <c r="AH22" s="41">
        <v>1.9629045297477103</v>
      </c>
      <c r="AI22" s="41">
        <v>0.93437763270523932</v>
      </c>
      <c r="AJ22" s="41">
        <v>1.8674095436515756</v>
      </c>
      <c r="AK22" s="41">
        <v>0.8967117426693233</v>
      </c>
      <c r="AL22" s="42">
        <v>5.2172665173837665</v>
      </c>
      <c r="AM22" s="41">
        <v>1.9352769591715224</v>
      </c>
      <c r="AN22" s="41">
        <v>0.77900546357175604</v>
      </c>
      <c r="AO22" s="41">
        <v>0.73547555950287136</v>
      </c>
      <c r="AP22" s="41">
        <v>0.79422519810580083</v>
      </c>
      <c r="AQ22" s="42">
        <v>3.1514026222241309</v>
      </c>
      <c r="AR22" s="41">
        <v>2.3171190500079746</v>
      </c>
      <c r="AS22" s="41">
        <v>2.3326827851372132</v>
      </c>
      <c r="AT22" s="41">
        <v>2.4292971137690391</v>
      </c>
      <c r="AU22" s="43">
        <v>2.2763864963246156</v>
      </c>
      <c r="AV22" s="41">
        <v>3.8142184240351389</v>
      </c>
      <c r="AW22" s="41">
        <v>2.285201764107216</v>
      </c>
      <c r="AX22" s="41">
        <v>5.8297215868068459</v>
      </c>
      <c r="AY22" s="41">
        <v>0.62172698569093843</v>
      </c>
      <c r="AZ22" s="41">
        <v>0.86733272140336504</v>
      </c>
      <c r="BA22" s="41">
        <v>10.574692020513387</v>
      </c>
      <c r="BB22" s="41">
        <v>2.2381626389754605</v>
      </c>
      <c r="BC22" s="41">
        <v>2.1310146802098746</v>
      </c>
      <c r="BD22" s="41">
        <v>2.1657217198933396</v>
      </c>
      <c r="BE22" s="44">
        <v>1.2633052903912043</v>
      </c>
      <c r="BF22" s="34">
        <v>5.2108961448288795</v>
      </c>
      <c r="BG22" s="44">
        <v>3.9553721130414359</v>
      </c>
      <c r="BH22" s="44">
        <v>15.084707502009476</v>
      </c>
      <c r="BI22" s="44">
        <v>10.143362670198821</v>
      </c>
      <c r="BJ22" s="34">
        <v>7.0016614312637246</v>
      </c>
      <c r="BK22" s="34">
        <v>5.6667513924186474</v>
      </c>
    </row>
    <row r="23" spans="1:63" x14ac:dyDescent="0.4">
      <c r="A23" s="40" t="s">
        <v>74</v>
      </c>
      <c r="B23" s="41">
        <v>8.8133676328952113</v>
      </c>
      <c r="C23" s="41">
        <v>8.9444570909415919</v>
      </c>
      <c r="D23" s="41">
        <v>2.2424483874799206</v>
      </c>
      <c r="E23" s="41">
        <v>6.2142451289299769</v>
      </c>
      <c r="F23" s="41">
        <v>1.9518213497963555</v>
      </c>
      <c r="G23" s="42">
        <v>28.166339590043059</v>
      </c>
      <c r="H23" s="41">
        <v>8.1151799639646516</v>
      </c>
      <c r="I23" s="41">
        <v>3.1374461295647138</v>
      </c>
      <c r="J23" s="41">
        <v>3.046350831706639</v>
      </c>
      <c r="K23" s="41">
        <v>3.1591965863239362</v>
      </c>
      <c r="L23" s="42">
        <v>17.458173511559941</v>
      </c>
      <c r="M23" s="41">
        <v>6.8801032375202977</v>
      </c>
      <c r="N23" s="41">
        <v>6.1297032907166811</v>
      </c>
      <c r="O23" s="41">
        <v>6.7920644938677608</v>
      </c>
      <c r="P23" s="43">
        <v>6.0960822253891376</v>
      </c>
      <c r="Q23" s="41">
        <v>10.229459609284207</v>
      </c>
      <c r="R23" s="41">
        <v>5.5716489378796146</v>
      </c>
      <c r="S23" s="41">
        <v>19.460827160790423</v>
      </c>
      <c r="T23" s="41">
        <v>1.3264453514156183</v>
      </c>
      <c r="U23" s="41">
        <v>1.7178605478248876</v>
      </c>
      <c r="V23" s="41">
        <v>37.367206381737489</v>
      </c>
      <c r="W23" s="41">
        <v>7.7449029283696609</v>
      </c>
      <c r="X23" s="41">
        <v>8.3485732845819953</v>
      </c>
      <c r="Y23" s="41">
        <v>9.8504244508507739</v>
      </c>
      <c r="Z23" s="44">
        <v>6.0971434900917343</v>
      </c>
      <c r="AA23" s="34">
        <v>25.943900663802431</v>
      </c>
      <c r="AB23" s="44">
        <v>16.106772646605929</v>
      </c>
      <c r="AC23" s="44">
        <v>56.828033542527912</v>
      </c>
      <c r="AD23" s="44">
        <v>59.764265414680686</v>
      </c>
      <c r="AE23" s="34">
        <v>21.503843915258791</v>
      </c>
      <c r="AF23" s="34">
        <v>29.617625949374244</v>
      </c>
      <c r="AG23" s="41">
        <v>2.17622330329915</v>
      </c>
      <c r="AH23" s="41">
        <v>1.9157227831131283</v>
      </c>
      <c r="AI23" s="41">
        <v>0.96888683541077236</v>
      </c>
      <c r="AJ23" s="41">
        <v>1.9729147485576344</v>
      </c>
      <c r="AK23" s="41">
        <v>0.88286421304965357</v>
      </c>
      <c r="AL23" s="42">
        <v>5.3857054624928082</v>
      </c>
      <c r="AM23" s="41">
        <v>1.9744433382361577</v>
      </c>
      <c r="AN23" s="41">
        <v>0.78334096671571307</v>
      </c>
      <c r="AO23" s="41">
        <v>0.72668809376335886</v>
      </c>
      <c r="AP23" s="41">
        <v>0.75517769762840203</v>
      </c>
      <c r="AQ23" s="42">
        <v>3.2060374888924272</v>
      </c>
      <c r="AR23" s="41">
        <v>2.3748412916263106</v>
      </c>
      <c r="AS23" s="41">
        <v>2.3511469135034808</v>
      </c>
      <c r="AT23" s="41">
        <v>2.5467651059899588</v>
      </c>
      <c r="AU23" s="43">
        <v>2.301689265908855</v>
      </c>
      <c r="AV23" s="41">
        <v>3.8920319492383935</v>
      </c>
      <c r="AW23" s="41">
        <v>2.3214476272087996</v>
      </c>
      <c r="AX23" s="41">
        <v>5.9261179293158133</v>
      </c>
      <c r="AY23" s="41">
        <v>0.61605304146838602</v>
      </c>
      <c r="AZ23" s="41">
        <v>0.86970787573595254</v>
      </c>
      <c r="BA23" s="41">
        <v>10.815041182560924</v>
      </c>
      <c r="BB23" s="41">
        <v>2.3128621013714761</v>
      </c>
      <c r="BC23" s="41">
        <v>2.157871076614803</v>
      </c>
      <c r="BD23" s="41">
        <v>2.1482348478894173</v>
      </c>
      <c r="BE23" s="44">
        <v>1.2664717285507394</v>
      </c>
      <c r="BF23" s="34">
        <v>5.293057555181405</v>
      </c>
      <c r="BG23" s="44">
        <v>4.043986225355594</v>
      </c>
      <c r="BH23" s="44">
        <v>15.385449419149934</v>
      </c>
      <c r="BI23" s="44">
        <v>10.56817408321799</v>
      </c>
      <c r="BJ23" s="34">
        <v>7.1191441191414464</v>
      </c>
      <c r="BK23" s="34">
        <v>5.8926997303755595</v>
      </c>
    </row>
    <row r="24" spans="1:63" x14ac:dyDescent="0.4">
      <c r="A24" s="40" t="s">
        <v>75</v>
      </c>
      <c r="B24" s="41">
        <v>8.8120573182858042</v>
      </c>
      <c r="C24" s="41">
        <v>9.2192085735988805</v>
      </c>
      <c r="D24" s="41">
        <v>2.8677724045151347</v>
      </c>
      <c r="E24" s="41">
        <v>6.4339741749671102</v>
      </c>
      <c r="F24" s="41">
        <v>2.120415460998601</v>
      </c>
      <c r="G24" s="42">
        <v>29.453427932365535</v>
      </c>
      <c r="H24" s="41">
        <v>7.3798470032041221</v>
      </c>
      <c r="I24" s="41">
        <v>3.0236361901038831</v>
      </c>
      <c r="J24" s="41">
        <v>2.8666265730146496</v>
      </c>
      <c r="K24" s="41">
        <v>3.0087907280126904</v>
      </c>
      <c r="L24" s="42">
        <v>16.278900494335346</v>
      </c>
      <c r="M24" s="41">
        <v>6.5007092172888745</v>
      </c>
      <c r="N24" s="41">
        <v>6.4874053904350175</v>
      </c>
      <c r="O24" s="41">
        <v>7.2612148683639894</v>
      </c>
      <c r="P24" s="43">
        <v>6.3093383587268237</v>
      </c>
      <c r="Q24" s="41">
        <v>10.586433779224771</v>
      </c>
      <c r="R24" s="41">
        <v>5.910194119224391</v>
      </c>
      <c r="S24" s="41">
        <v>19.986991011613433</v>
      </c>
      <c r="T24" s="41">
        <v>1.3420455595833516</v>
      </c>
      <c r="U24" s="41">
        <v>1.7694254213725675</v>
      </c>
      <c r="V24" s="41">
        <v>39.143683179461725</v>
      </c>
      <c r="W24" s="41">
        <v>7.5401129743628053</v>
      </c>
      <c r="X24" s="41">
        <v>8.209994163010041</v>
      </c>
      <c r="Y24" s="41">
        <v>9.666869861399034</v>
      </c>
      <c r="Z24" s="44">
        <v>5.7643201831610966</v>
      </c>
      <c r="AA24" s="34">
        <v>25.416976998771879</v>
      </c>
      <c r="AB24" s="44">
        <v>15.754871284247207</v>
      </c>
      <c r="AC24" s="44">
        <v>59.130674191075158</v>
      </c>
      <c r="AD24" s="44">
        <v>62.75755043925831</v>
      </c>
      <c r="AE24" s="34">
        <v>22.608066046844833</v>
      </c>
      <c r="AF24" s="34">
        <v>30.697607440062775</v>
      </c>
      <c r="AG24" s="41">
        <v>2.0439213979348758</v>
      </c>
      <c r="AH24" s="41">
        <v>1.8462937609274781</v>
      </c>
      <c r="AI24" s="41">
        <v>0.97726973360465308</v>
      </c>
      <c r="AJ24" s="41">
        <v>1.8932472371755125</v>
      </c>
      <c r="AK24" s="41">
        <v>0.88827244148870077</v>
      </c>
      <c r="AL24" s="42">
        <v>5.1114666572812535</v>
      </c>
      <c r="AM24" s="41">
        <v>1.9439840349387671</v>
      </c>
      <c r="AN24" s="41">
        <v>0.73812483578940924</v>
      </c>
      <c r="AO24" s="41">
        <v>0.72199709367214693</v>
      </c>
      <c r="AP24" s="41">
        <v>0.75879135691940047</v>
      </c>
      <c r="AQ24" s="42">
        <v>3.0014223599560377</v>
      </c>
      <c r="AR24" s="41">
        <v>2.3020218906851464</v>
      </c>
      <c r="AS24" s="41">
        <v>2.3674886673923323</v>
      </c>
      <c r="AT24" s="41">
        <v>2.559027311771902</v>
      </c>
      <c r="AU24" s="43">
        <v>2.3294306906110958</v>
      </c>
      <c r="AV24" s="41">
        <v>3.9368436785590748</v>
      </c>
      <c r="AW24" s="41">
        <v>2.3923906161617046</v>
      </c>
      <c r="AX24" s="41">
        <v>6.0626031268154632</v>
      </c>
      <c r="AY24" s="41">
        <v>0.62837086004725873</v>
      </c>
      <c r="AZ24" s="41">
        <v>0.89609536243419641</v>
      </c>
      <c r="BA24" s="41">
        <v>10.707793633161328</v>
      </c>
      <c r="BB24" s="41">
        <v>2.2261190975438296</v>
      </c>
      <c r="BC24" s="41">
        <v>2.1043263402730705</v>
      </c>
      <c r="BD24" s="41">
        <v>2.1822940561962634</v>
      </c>
      <c r="BE24" s="44">
        <v>1.2601723094153661</v>
      </c>
      <c r="BF24" s="34">
        <v>5.1165250171118517</v>
      </c>
      <c r="BG24" s="44">
        <v>3.8592870969495117</v>
      </c>
      <c r="BH24" s="44">
        <v>15.369272562721008</v>
      </c>
      <c r="BI24" s="44">
        <v>9.9952252601638492</v>
      </c>
      <c r="BJ24" s="34">
        <v>7.1567719669725971</v>
      </c>
      <c r="BK24" s="34">
        <v>5.5924236972158541</v>
      </c>
    </row>
    <row r="25" spans="1:63" x14ac:dyDescent="0.4">
      <c r="A25" s="40" t="s">
        <v>76</v>
      </c>
      <c r="B25" s="41">
        <v>8.1541059939229772</v>
      </c>
      <c r="C25" s="41">
        <v>8.4308255881056109</v>
      </c>
      <c r="D25" s="41">
        <v>2.1654847862263442</v>
      </c>
      <c r="E25" s="41">
        <v>6.2185059487824503</v>
      </c>
      <c r="F25" s="41">
        <v>2.1030440712538492</v>
      </c>
      <c r="G25" s="42">
        <v>27.07196638829123</v>
      </c>
      <c r="H25" s="41">
        <v>7.7600063125617673</v>
      </c>
      <c r="I25" s="41">
        <v>2.8342492912994111</v>
      </c>
      <c r="J25" s="41">
        <v>2.874756805382896</v>
      </c>
      <c r="K25" s="41">
        <v>2.8126433023075101</v>
      </c>
      <c r="L25" s="42">
        <v>16.281655711551586</v>
      </c>
      <c r="M25" s="41">
        <v>6.6279582230641587</v>
      </c>
      <c r="N25" s="41">
        <v>6.2531669064954869</v>
      </c>
      <c r="O25" s="41">
        <v>6.6434066126217699</v>
      </c>
      <c r="P25" s="43">
        <v>6.1088872461882522</v>
      </c>
      <c r="Q25" s="41">
        <v>10.355660959644844</v>
      </c>
      <c r="R25" s="41">
        <v>5.6650796201114657</v>
      </c>
      <c r="S25" s="41">
        <v>19.776953469239917</v>
      </c>
      <c r="T25" s="41">
        <v>1.3655508697555023</v>
      </c>
      <c r="U25" s="41">
        <v>1.7976817819338848</v>
      </c>
      <c r="V25" s="41">
        <v>37.733163501886196</v>
      </c>
      <c r="W25" s="41">
        <v>7.5423907272034132</v>
      </c>
      <c r="X25" s="41">
        <v>7.989355474850897</v>
      </c>
      <c r="Y25" s="41">
        <v>9.5336020538155335</v>
      </c>
      <c r="Z25" s="44">
        <v>5.7781050375394862</v>
      </c>
      <c r="AA25" s="34">
        <v>25.065348255869843</v>
      </c>
      <c r="AB25" s="44">
        <v>15.538389083871607</v>
      </c>
      <c r="AC25" s="44">
        <v>57.510116971126109</v>
      </c>
      <c r="AD25" s="44">
        <v>60.724962420869801</v>
      </c>
      <c r="AE25" s="34">
        <v>21.576122221255744</v>
      </c>
      <c r="AF25" s="34">
        <v>29.881670201899539</v>
      </c>
      <c r="AG25" s="41">
        <v>2.1961968941899261</v>
      </c>
      <c r="AH25" s="41">
        <v>1.9515571597809569</v>
      </c>
      <c r="AI25" s="41">
        <v>1.0330391558662773</v>
      </c>
      <c r="AJ25" s="41">
        <v>1.9364356713508994</v>
      </c>
      <c r="AK25" s="41">
        <v>0.93933596384689511</v>
      </c>
      <c r="AL25" s="42">
        <v>5.308518208867655</v>
      </c>
      <c r="AM25" s="41">
        <v>2.0653475954156559</v>
      </c>
      <c r="AN25" s="41">
        <v>0.81098259420364727</v>
      </c>
      <c r="AO25" s="41">
        <v>0.75834869059093235</v>
      </c>
      <c r="AP25" s="41">
        <v>0.8201641023452898</v>
      </c>
      <c r="AQ25" s="42">
        <v>3.3344502730288528</v>
      </c>
      <c r="AR25" s="41">
        <v>2.3444400067885947</v>
      </c>
      <c r="AS25" s="41">
        <v>2.410255797236716</v>
      </c>
      <c r="AT25" s="41">
        <v>2.5024952228928021</v>
      </c>
      <c r="AU25" s="43">
        <v>2.3047510561984454</v>
      </c>
      <c r="AV25" s="41">
        <v>3.9358189601577891</v>
      </c>
      <c r="AW25" s="41">
        <v>2.3538290016517514</v>
      </c>
      <c r="AX25" s="41">
        <v>6.0334444301594514</v>
      </c>
      <c r="AY25" s="41">
        <v>0.64825983853944769</v>
      </c>
      <c r="AZ25" s="41">
        <v>0.89760849524216246</v>
      </c>
      <c r="BA25" s="41">
        <v>10.758507081149959</v>
      </c>
      <c r="BB25" s="41">
        <v>2.2676028397441286</v>
      </c>
      <c r="BC25" s="41">
        <v>2.1450579313496907</v>
      </c>
      <c r="BD25" s="41">
        <v>2.2719480200232134</v>
      </c>
      <c r="BE25" s="44">
        <v>1.3115594254760028</v>
      </c>
      <c r="BF25" s="34">
        <v>5.3282969083285261</v>
      </c>
      <c r="BG25" s="44">
        <v>3.9850848611515772</v>
      </c>
      <c r="BH25" s="44">
        <v>15.430668289726874</v>
      </c>
      <c r="BI25" s="44">
        <v>10.40406591444172</v>
      </c>
      <c r="BJ25" s="34">
        <v>7.1319494820360747</v>
      </c>
      <c r="BK25" s="34">
        <v>5.7524759696622461</v>
      </c>
    </row>
    <row r="26" spans="1:63" x14ac:dyDescent="0.4">
      <c r="A26" s="40" t="s">
        <v>77</v>
      </c>
      <c r="B26" s="41">
        <v>8.2904222110548087</v>
      </c>
      <c r="C26" s="41">
        <v>8.7358855727744746</v>
      </c>
      <c r="D26" s="41">
        <v>2.2432119118965406</v>
      </c>
      <c r="E26" s="41">
        <v>5.8078923209782047</v>
      </c>
      <c r="F26" s="41">
        <v>2.1022410185955027</v>
      </c>
      <c r="G26" s="42">
        <v>27.17965303529953</v>
      </c>
      <c r="H26" s="41">
        <v>7.7174368030325287</v>
      </c>
      <c r="I26" s="41">
        <v>2.9162990125667192</v>
      </c>
      <c r="J26" s="41">
        <v>2.8461329115947391</v>
      </c>
      <c r="K26" s="41">
        <v>2.987730624548913</v>
      </c>
      <c r="L26" s="42">
        <v>16.467599351742901</v>
      </c>
      <c r="M26" s="41">
        <v>6.7578400204428011</v>
      </c>
      <c r="N26" s="41">
        <v>5.9336849274391898</v>
      </c>
      <c r="O26" s="41">
        <v>6.5306066078719729</v>
      </c>
      <c r="P26" s="43">
        <v>6.0035851222752541</v>
      </c>
      <c r="Q26" s="41">
        <v>9.9627339827679826</v>
      </c>
      <c r="R26" s="41">
        <v>5.4667802112141901</v>
      </c>
      <c r="S26" s="41">
        <v>19.018879582296769</v>
      </c>
      <c r="T26" s="41">
        <v>1.3205437324477454</v>
      </c>
      <c r="U26" s="41">
        <v>1.6848487437132278</v>
      </c>
      <c r="V26" s="41">
        <v>36.672770619911603</v>
      </c>
      <c r="W26" s="41">
        <v>7.9800573899722593</v>
      </c>
      <c r="X26" s="41">
        <v>8.4776373925558666</v>
      </c>
      <c r="Y26" s="41">
        <v>9.8191180044008686</v>
      </c>
      <c r="Z26" s="44">
        <v>5.9737351670448389</v>
      </c>
      <c r="AA26" s="34">
        <v>26.276812786928993</v>
      </c>
      <c r="AB26" s="44">
        <v>16.461066322117706</v>
      </c>
      <c r="AC26" s="44">
        <v>55.691650202208372</v>
      </c>
      <c r="AD26" s="44">
        <v>59.43524089662764</v>
      </c>
      <c r="AE26" s="34">
        <v>21.006562803660586</v>
      </c>
      <c r="AF26" s="34">
        <v>29.116956934938937</v>
      </c>
      <c r="AG26" s="41">
        <v>2.2133132169871188</v>
      </c>
      <c r="AH26" s="41">
        <v>1.9491644657994698</v>
      </c>
      <c r="AI26" s="41">
        <v>1.0319863001227587</v>
      </c>
      <c r="AJ26" s="41">
        <v>1.8309551624402982</v>
      </c>
      <c r="AK26" s="41">
        <v>0.91583060987946463</v>
      </c>
      <c r="AL26" s="42">
        <v>5.2870349160076628</v>
      </c>
      <c r="AM26" s="41">
        <v>1.9575703795469337</v>
      </c>
      <c r="AN26" s="41">
        <v>0.76144801540885643</v>
      </c>
      <c r="AO26" s="41">
        <v>0.77768590665099258</v>
      </c>
      <c r="AP26" s="41">
        <v>0.80836173452220772</v>
      </c>
      <c r="AQ26" s="42">
        <v>3.1585047490532183</v>
      </c>
      <c r="AR26" s="41">
        <v>2.4063807089751736</v>
      </c>
      <c r="AS26" s="41">
        <v>2.3264342289406237</v>
      </c>
      <c r="AT26" s="41">
        <v>2.4972739489532798</v>
      </c>
      <c r="AU26" s="43">
        <v>2.2787998444066506</v>
      </c>
      <c r="AV26" s="41">
        <v>3.8329025463016406</v>
      </c>
      <c r="AW26" s="41">
        <v>2.2987062349137166</v>
      </c>
      <c r="AX26" s="41">
        <v>5.9027783225808212</v>
      </c>
      <c r="AY26" s="41">
        <v>0.61196416345649329</v>
      </c>
      <c r="AZ26" s="41">
        <v>0.85409321475440481</v>
      </c>
      <c r="BA26" s="41">
        <v>10.616906987404423</v>
      </c>
      <c r="BB26" s="41">
        <v>2.2300409820854461</v>
      </c>
      <c r="BC26" s="41">
        <v>2.0914502800167019</v>
      </c>
      <c r="BD26" s="41">
        <v>2.1313142359147901</v>
      </c>
      <c r="BE26" s="44">
        <v>1.2679383322624487</v>
      </c>
      <c r="BF26" s="34">
        <v>5.2249603172625152</v>
      </c>
      <c r="BG26" s="44">
        <v>3.9554009972372981</v>
      </c>
      <c r="BH26" s="44">
        <v>15.1891504705332</v>
      </c>
      <c r="BI26" s="44">
        <v>10.181616636055415</v>
      </c>
      <c r="BJ26" s="34">
        <v>7.0239762038609923</v>
      </c>
      <c r="BK26" s="34">
        <v>5.7053576684530674</v>
      </c>
    </row>
    <row r="27" spans="1:63" x14ac:dyDescent="0.4">
      <c r="A27" s="40" t="s">
        <v>95</v>
      </c>
      <c r="B27" s="41">
        <v>8.1562403772344325</v>
      </c>
      <c r="C27" s="41">
        <v>8.4507059732146086</v>
      </c>
      <c r="D27" s="41">
        <v>1.9574330431568712</v>
      </c>
      <c r="E27" s="41">
        <v>6.1427498557252438</v>
      </c>
      <c r="F27" s="41">
        <v>2.0609157203857205</v>
      </c>
      <c r="G27" s="42">
        <v>26.768044969716883</v>
      </c>
      <c r="H27" s="41">
        <v>7.8517584875203781</v>
      </c>
      <c r="I27" s="41">
        <v>2.7813568745978512</v>
      </c>
      <c r="J27" s="41">
        <v>2.8062149745762084</v>
      </c>
      <c r="K27" s="41">
        <v>2.7863530091446895</v>
      </c>
      <c r="L27" s="42">
        <v>16.225683345839126</v>
      </c>
      <c r="M27" s="41">
        <v>6.527374338359218</v>
      </c>
      <c r="N27" s="41">
        <v>6.1459465616080617</v>
      </c>
      <c r="O27" s="41">
        <v>6.4923750132926203</v>
      </c>
      <c r="P27" s="43">
        <v>5.9246572193709044</v>
      </c>
      <c r="Q27" s="41">
        <v>10.057955449517838</v>
      </c>
      <c r="R27" s="41">
        <v>5.5329791311944296</v>
      </c>
      <c r="S27" s="41">
        <v>19.122892245898285</v>
      </c>
      <c r="T27" s="41">
        <v>1.3399270795261047</v>
      </c>
      <c r="U27" s="41">
        <v>1.7491018658013708</v>
      </c>
      <c r="V27" s="41">
        <v>37.093559905430205</v>
      </c>
      <c r="W27" s="41">
        <v>7.7207728004204768</v>
      </c>
      <c r="X27" s="41">
        <v>8.1627643440229374</v>
      </c>
      <c r="Y27" s="41">
        <v>9.5659714189187746</v>
      </c>
      <c r="Z27" s="44">
        <v>5.8269716865271626</v>
      </c>
      <c r="AA27" s="34">
        <v>25.449508563362187</v>
      </c>
      <c r="AB27" s="44">
        <v>15.887927115183926</v>
      </c>
      <c r="AC27" s="44">
        <v>56.21645215132849</v>
      </c>
      <c r="AD27" s="44">
        <v>60.092853060515566</v>
      </c>
      <c r="AE27" s="34">
        <v>21.024755520293592</v>
      </c>
      <c r="AF27" s="34">
        <v>29.420576410494437</v>
      </c>
      <c r="AG27" s="41">
        <v>2.1000914922326537</v>
      </c>
      <c r="AH27" s="41">
        <v>1.9130604434021199</v>
      </c>
      <c r="AI27" s="41">
        <v>0.92851575117320595</v>
      </c>
      <c r="AJ27" s="41">
        <v>1.8450877012213218</v>
      </c>
      <c r="AK27" s="41">
        <v>0.92775207215725264</v>
      </c>
      <c r="AL27" s="42">
        <v>5.0157667170924762</v>
      </c>
      <c r="AM27" s="41">
        <v>1.9698017088587132</v>
      </c>
      <c r="AN27" s="41">
        <v>0.79490083058211569</v>
      </c>
      <c r="AO27" s="41">
        <v>0.75184715328909613</v>
      </c>
      <c r="AP27" s="41">
        <v>0.7932219864018113</v>
      </c>
      <c r="AQ27" s="42">
        <v>3.2245774099103315</v>
      </c>
      <c r="AR27" s="41">
        <v>2.2700576139953461</v>
      </c>
      <c r="AS27" s="41">
        <v>2.3362418481975928</v>
      </c>
      <c r="AT27" s="41">
        <v>2.4688581266252547</v>
      </c>
      <c r="AU27" s="43">
        <v>2.2300357862926079</v>
      </c>
      <c r="AV27" s="41">
        <v>3.7438690996348156</v>
      </c>
      <c r="AW27" s="41">
        <v>2.2682763870411868</v>
      </c>
      <c r="AX27" s="41">
        <v>5.8144069899273481</v>
      </c>
      <c r="AY27" s="41">
        <v>0.61621735793757515</v>
      </c>
      <c r="AZ27" s="41">
        <v>0.86644462453094639</v>
      </c>
      <c r="BA27" s="41">
        <v>10.367752696716048</v>
      </c>
      <c r="BB27" s="41">
        <v>2.258868040116484</v>
      </c>
      <c r="BC27" s="41">
        <v>2.1053374048978872</v>
      </c>
      <c r="BD27" s="41">
        <v>2.189617149450247</v>
      </c>
      <c r="BE27" s="44">
        <v>1.2582273073762789</v>
      </c>
      <c r="BF27" s="34">
        <v>5.2560729881276398</v>
      </c>
      <c r="BG27" s="44">
        <v>3.9719377161948914</v>
      </c>
      <c r="BH27" s="44">
        <v>14.853373330246573</v>
      </c>
      <c r="BI27" s="44">
        <v>10.146215728690452</v>
      </c>
      <c r="BJ27" s="34">
        <v>6.9154223313215093</v>
      </c>
      <c r="BK27" s="34">
        <v>5.6994231716426347</v>
      </c>
    </row>
    <row r="28" spans="1:63" x14ac:dyDescent="0.4">
      <c r="A28" s="40" t="s">
        <v>78</v>
      </c>
      <c r="B28" s="41">
        <v>8.1124255104518159</v>
      </c>
      <c r="C28" s="41">
        <v>8.531505109189208</v>
      </c>
      <c r="D28" s="41">
        <v>1.525788795277528</v>
      </c>
      <c r="E28" s="41">
        <v>6.0934972259064697</v>
      </c>
      <c r="F28" s="41">
        <v>2.0897797537875724</v>
      </c>
      <c r="G28" s="42">
        <v>26.352996394612362</v>
      </c>
      <c r="H28" s="41">
        <v>7.6730212400292803</v>
      </c>
      <c r="I28" s="41">
        <v>2.8127300069118806</v>
      </c>
      <c r="J28" s="41">
        <v>2.7972249724458682</v>
      </c>
      <c r="K28" s="41">
        <v>2.7521903196278847</v>
      </c>
      <c r="L28" s="42">
        <v>16.035166539014778</v>
      </c>
      <c r="M28" s="41">
        <v>6.2410192225065346</v>
      </c>
      <c r="N28" s="41">
        <v>6.1963535147859234</v>
      </c>
      <c r="O28" s="41">
        <v>6.5504567446900017</v>
      </c>
      <c r="P28" s="43">
        <v>6.0122779324130038</v>
      </c>
      <c r="Q28" s="41">
        <v>10.216827632586751</v>
      </c>
      <c r="R28" s="41">
        <v>5.6424781902075569</v>
      </c>
      <c r="S28" s="41">
        <v>19.800802338831119</v>
      </c>
      <c r="T28" s="41">
        <v>1.3300657562907701</v>
      </c>
      <c r="U28" s="41">
        <v>1.7155947021351967</v>
      </c>
      <c r="V28" s="41">
        <v>37.734896601968167</v>
      </c>
      <c r="W28" s="41">
        <v>7.5680306738151097</v>
      </c>
      <c r="X28" s="41">
        <v>8.0262231230501033</v>
      </c>
      <c r="Y28" s="41">
        <v>9.6363742504344199</v>
      </c>
      <c r="Z28" s="44">
        <v>5.8160505127870223</v>
      </c>
      <c r="AA28" s="34">
        <v>25.230628047299898</v>
      </c>
      <c r="AB28" s="44">
        <v>15.594253796865273</v>
      </c>
      <c r="AC28" s="44">
        <v>57.535698940801154</v>
      </c>
      <c r="AD28" s="44">
        <v>60.087201808297827</v>
      </c>
      <c r="AE28" s="34">
        <v>21.250873325736698</v>
      </c>
      <c r="AF28" s="34">
        <v>29.845150473557489</v>
      </c>
      <c r="AG28" s="41">
        <v>2.2336455601060807</v>
      </c>
      <c r="AH28" s="41">
        <v>1.9646997832170916</v>
      </c>
      <c r="AI28" s="41">
        <v>0.67108922446939823</v>
      </c>
      <c r="AJ28" s="41">
        <v>1.8352237835457361</v>
      </c>
      <c r="AK28" s="41">
        <v>0.89481786387478424</v>
      </c>
      <c r="AL28" s="42">
        <v>5.1576998684923536</v>
      </c>
      <c r="AM28" s="41">
        <v>1.9508430924613969</v>
      </c>
      <c r="AN28" s="41">
        <v>0.7587645102357724</v>
      </c>
      <c r="AO28" s="41">
        <v>0.74324611356350478</v>
      </c>
      <c r="AP28" s="41">
        <v>0.79897774579556857</v>
      </c>
      <c r="AQ28" s="42">
        <v>3.1288938572888507</v>
      </c>
      <c r="AR28" s="41">
        <v>2.2521657211078421</v>
      </c>
      <c r="AS28" s="41">
        <v>2.3251203888951184</v>
      </c>
      <c r="AT28" s="41">
        <v>2.4587363624781386</v>
      </c>
      <c r="AU28" s="43">
        <v>2.2325372828371828</v>
      </c>
      <c r="AV28" s="41">
        <v>3.786718921114844</v>
      </c>
      <c r="AW28" s="41">
        <v>2.2935537942519493</v>
      </c>
      <c r="AX28" s="41">
        <v>5.7593105255902479</v>
      </c>
      <c r="AY28" s="41">
        <v>0.60983320609123748</v>
      </c>
      <c r="AZ28" s="41">
        <v>0.85966573071994978</v>
      </c>
      <c r="BA28" s="41">
        <v>10.317365656991887</v>
      </c>
      <c r="BB28" s="41">
        <v>2.190565765731129</v>
      </c>
      <c r="BC28" s="41">
        <v>2.0488490385714324</v>
      </c>
      <c r="BD28" s="41">
        <v>2.1633815997353167</v>
      </c>
      <c r="BE28" s="44">
        <v>1.219295291784656</v>
      </c>
      <c r="BF28" s="34">
        <v>5.0547863589124225</v>
      </c>
      <c r="BG28" s="44">
        <v>3.8167798052378141</v>
      </c>
      <c r="BH28" s="44">
        <v>14.695625718175267</v>
      </c>
      <c r="BI28" s="44">
        <v>9.9540496962072851</v>
      </c>
      <c r="BJ28" s="34">
        <v>6.9357878127679022</v>
      </c>
      <c r="BK28" s="34">
        <v>5.6084964169896514</v>
      </c>
    </row>
    <row r="29" spans="1:63" x14ac:dyDescent="0.4">
      <c r="A29" s="40" t="s">
        <v>79</v>
      </c>
      <c r="B29" s="41">
        <v>8.717075915283548</v>
      </c>
      <c r="C29" s="41">
        <v>8.5862235261021969</v>
      </c>
      <c r="D29" s="41">
        <v>2.2127155085801209</v>
      </c>
      <c r="E29" s="41">
        <v>6.1882409677289969</v>
      </c>
      <c r="F29" s="41">
        <v>1.844713258047642</v>
      </c>
      <c r="G29" s="42">
        <v>27.548969175742528</v>
      </c>
      <c r="H29" s="41">
        <v>7.8990073544186528</v>
      </c>
      <c r="I29" s="41">
        <v>2.8995030074080117</v>
      </c>
      <c r="J29" s="41">
        <v>2.8935149834559293</v>
      </c>
      <c r="K29" s="41">
        <v>2.9799997320794782</v>
      </c>
      <c r="L29" s="42">
        <v>16.672025077361852</v>
      </c>
      <c r="M29" s="41">
        <v>7.0008037616042529</v>
      </c>
      <c r="N29" s="41">
        <v>6.3549009363822373</v>
      </c>
      <c r="O29" s="41">
        <v>6.6862114696781116</v>
      </c>
      <c r="P29" s="43">
        <v>6.4048681161167309</v>
      </c>
      <c r="Q29" s="41">
        <v>10.538480086806299</v>
      </c>
      <c r="R29" s="41">
        <v>5.7585098259856053</v>
      </c>
      <c r="S29" s="41">
        <v>19.267933930796186</v>
      </c>
      <c r="T29" s="41">
        <v>1.3680022505324965</v>
      </c>
      <c r="U29" s="41">
        <v>1.7487441224932672</v>
      </c>
      <c r="V29" s="41">
        <v>37.98365684737842</v>
      </c>
      <c r="W29" s="41">
        <v>8.0074749829200087</v>
      </c>
      <c r="X29" s="41">
        <v>8.335168588996428</v>
      </c>
      <c r="Y29" s="41">
        <v>9.7474045198193799</v>
      </c>
      <c r="Z29" s="44">
        <v>5.9368913180350384</v>
      </c>
      <c r="AA29" s="34">
        <v>26.090048091736012</v>
      </c>
      <c r="AB29" s="44">
        <v>16.342643571916657</v>
      </c>
      <c r="AC29" s="44">
        <v>57.251590778175064</v>
      </c>
      <c r="AD29" s="44">
        <v>59.786896006644128</v>
      </c>
      <c r="AE29" s="34">
        <v>21.96633578480612</v>
      </c>
      <c r="AF29" s="34">
        <v>29.475424988948216</v>
      </c>
      <c r="AG29" s="41">
        <v>2.0464695864675226</v>
      </c>
      <c r="AH29" s="41">
        <v>1.8070332304489913</v>
      </c>
      <c r="AI29" s="41">
        <v>0.89867734678598143</v>
      </c>
      <c r="AJ29" s="41">
        <v>1.8061640470948637</v>
      </c>
      <c r="AK29" s="41">
        <v>0.83274659155569519</v>
      </c>
      <c r="AL29" s="42">
        <v>4.7962801669473123</v>
      </c>
      <c r="AM29" s="41">
        <v>1.9622741890725679</v>
      </c>
      <c r="AN29" s="41">
        <v>0.73777747915255432</v>
      </c>
      <c r="AO29" s="41">
        <v>0.73638238051643323</v>
      </c>
      <c r="AP29" s="41">
        <v>0.7768791075752195</v>
      </c>
      <c r="AQ29" s="42">
        <v>3.0807358395797162</v>
      </c>
      <c r="AR29" s="41">
        <v>2.2297804613403533</v>
      </c>
      <c r="AS29" s="41">
        <v>2.2573918205727179</v>
      </c>
      <c r="AT29" s="41">
        <v>2.3722809666207141</v>
      </c>
      <c r="AU29" s="43">
        <v>2.2332464623583292</v>
      </c>
      <c r="AV29" s="41">
        <v>3.798259144892242</v>
      </c>
      <c r="AW29" s="41">
        <v>2.2506493443535152</v>
      </c>
      <c r="AX29" s="41">
        <v>5.8074086057835572</v>
      </c>
      <c r="AY29" s="41">
        <v>0.64525101034743049</v>
      </c>
      <c r="AZ29" s="41">
        <v>0.86512346054872258</v>
      </c>
      <c r="BA29" s="41">
        <v>10.115282383551417</v>
      </c>
      <c r="BB29" s="41">
        <v>2.2573538980263215</v>
      </c>
      <c r="BC29" s="41">
        <v>2.1027998604285387</v>
      </c>
      <c r="BD29" s="41">
        <v>2.1610644595796455</v>
      </c>
      <c r="BE29" s="44">
        <v>1.2619681846031534</v>
      </c>
      <c r="BF29" s="34">
        <v>5.189605976455308</v>
      </c>
      <c r="BG29" s="44">
        <v>3.9283446702960405</v>
      </c>
      <c r="BH29" s="44">
        <v>14.470182588302983</v>
      </c>
      <c r="BI29" s="44">
        <v>9.7883274282698416</v>
      </c>
      <c r="BJ29" s="34">
        <v>6.7885157443268644</v>
      </c>
      <c r="BK29" s="34">
        <v>5.6041559311697835</v>
      </c>
    </row>
    <row r="30" spans="1:63" x14ac:dyDescent="0.4">
      <c r="A30" s="40" t="s">
        <v>80</v>
      </c>
      <c r="B30" s="41">
        <v>8.5062268127429004</v>
      </c>
      <c r="C30" s="41">
        <v>9.0988626269312665</v>
      </c>
      <c r="D30" s="41">
        <v>2.1687364650282666</v>
      </c>
      <c r="E30" s="41">
        <v>6.194032710361812</v>
      </c>
      <c r="F30" s="41">
        <v>1.968607574358898</v>
      </c>
      <c r="G30" s="42">
        <v>27.936466189422628</v>
      </c>
      <c r="H30" s="41">
        <v>8.0189213824977301</v>
      </c>
      <c r="I30" s="41">
        <v>3.1409494945976268</v>
      </c>
      <c r="J30" s="41">
        <v>2.9385505024994014</v>
      </c>
      <c r="K30" s="41">
        <v>2.9532800352998017</v>
      </c>
      <c r="L30" s="42">
        <v>17.051701414894069</v>
      </c>
      <c r="M30" s="41">
        <v>6.7079116808619608</v>
      </c>
      <c r="N30" s="41">
        <v>6.0936083000945631</v>
      </c>
      <c r="O30" s="41">
        <v>6.5284169090624147</v>
      </c>
      <c r="P30" s="43">
        <v>6.0426732621531674</v>
      </c>
      <c r="Q30" s="41">
        <v>10.301842207629942</v>
      </c>
      <c r="R30" s="41">
        <v>5.6186984364747348</v>
      </c>
      <c r="S30" s="41">
        <v>18.99723639826043</v>
      </c>
      <c r="T30" s="41">
        <v>1.3293795249624369</v>
      </c>
      <c r="U30" s="41">
        <v>1.7105011060212945</v>
      </c>
      <c r="V30" s="41">
        <v>37.258628998077995</v>
      </c>
      <c r="W30" s="41">
        <v>7.8020947636714979</v>
      </c>
      <c r="X30" s="41">
        <v>8.20652117116345</v>
      </c>
      <c r="Y30" s="41">
        <v>9.553393830665545</v>
      </c>
      <c r="Z30" s="44">
        <v>5.9321175808034381</v>
      </c>
      <c r="AA30" s="34">
        <v>25.562009765500193</v>
      </c>
      <c r="AB30" s="44">
        <v>16.008615934834715</v>
      </c>
      <c r="AC30" s="44">
        <v>56.25586539633764</v>
      </c>
      <c r="AD30" s="44">
        <v>60.322755009027638</v>
      </c>
      <c r="AE30" s="34">
        <v>21.229669238674404</v>
      </c>
      <c r="AF30" s="34">
        <v>29.47868949541018</v>
      </c>
      <c r="AG30" s="41">
        <v>2.1344009873429579</v>
      </c>
      <c r="AH30" s="41">
        <v>1.7804756434851698</v>
      </c>
      <c r="AI30" s="41">
        <v>0.99664147669960723</v>
      </c>
      <c r="AJ30" s="41">
        <v>1.7731347114053377</v>
      </c>
      <c r="AK30" s="41">
        <v>0.85565495975692774</v>
      </c>
      <c r="AL30" s="42">
        <v>4.956327431307253</v>
      </c>
      <c r="AM30" s="41">
        <v>1.8963512271519725</v>
      </c>
      <c r="AN30" s="41">
        <v>0.74013980087180131</v>
      </c>
      <c r="AO30" s="41">
        <v>0.70224825083719944</v>
      </c>
      <c r="AP30" s="41">
        <v>0.74935398523398766</v>
      </c>
      <c r="AQ30" s="42">
        <v>3.0032366014911611</v>
      </c>
      <c r="AR30" s="41">
        <v>2.1872937461789559</v>
      </c>
      <c r="AS30" s="41">
        <v>2.2531186861020895</v>
      </c>
      <c r="AT30" s="41">
        <v>2.3600638379774872</v>
      </c>
      <c r="AU30" s="43">
        <v>2.1393612626276939</v>
      </c>
      <c r="AV30" s="41">
        <v>3.7493819286262884</v>
      </c>
      <c r="AW30" s="41">
        <v>2.2315650569123333</v>
      </c>
      <c r="AX30" s="41">
        <v>5.6247743210638044</v>
      </c>
      <c r="AY30" s="41">
        <v>0.61636228399738824</v>
      </c>
      <c r="AZ30" s="41">
        <v>0.83973241454985048</v>
      </c>
      <c r="BA30" s="41">
        <v>9.9421149801439093</v>
      </c>
      <c r="BB30" s="41">
        <v>2.1399211294807077</v>
      </c>
      <c r="BC30" s="41">
        <v>2.0401724265655878</v>
      </c>
      <c r="BD30" s="41">
        <v>2.1692951424361753</v>
      </c>
      <c r="BE30" s="44">
        <v>1.20980964431799</v>
      </c>
      <c r="BF30" s="34">
        <v>5.0912637581310678</v>
      </c>
      <c r="BG30" s="44">
        <v>3.7785327027267415</v>
      </c>
      <c r="BH30" s="44">
        <v>14.16762077728557</v>
      </c>
      <c r="BI30" s="44">
        <v>9.6093105529611194</v>
      </c>
      <c r="BJ30" s="34">
        <v>6.6582296179959499</v>
      </c>
      <c r="BK30" s="34">
        <v>5.4288821778178518</v>
      </c>
    </row>
    <row r="31" spans="1:63" x14ac:dyDescent="0.4">
      <c r="A31" s="40" t="s">
        <v>81</v>
      </c>
      <c r="B31" s="41">
        <v>7.9977542932628198</v>
      </c>
      <c r="C31" s="41">
        <v>8.4274648733037729</v>
      </c>
      <c r="D31" s="41">
        <v>2.5931788159000608</v>
      </c>
      <c r="E31" s="41">
        <v>6.3981385853249186</v>
      </c>
      <c r="F31" s="41">
        <v>2.437936831992364</v>
      </c>
      <c r="G31" s="42">
        <v>27.854473399783711</v>
      </c>
      <c r="H31" s="41">
        <v>7.1137024138345799</v>
      </c>
      <c r="I31" s="41">
        <v>2.7295664705175806</v>
      </c>
      <c r="J31" s="41">
        <v>2.7610303830911795</v>
      </c>
      <c r="K31" s="41">
        <v>2.6587726672271108</v>
      </c>
      <c r="L31" s="42">
        <v>15.263071934670467</v>
      </c>
      <c r="M31" s="41">
        <v>6.4189744205595831</v>
      </c>
      <c r="N31" s="41">
        <v>6.5157319562868095</v>
      </c>
      <c r="O31" s="41">
        <v>6.9335655097874245</v>
      </c>
      <c r="P31" s="43">
        <v>6.1395460550018077</v>
      </c>
      <c r="Q31" s="41">
        <v>10.665822024738867</v>
      </c>
      <c r="R31" s="41">
        <v>5.8841959889516318</v>
      </c>
      <c r="S31" s="41">
        <v>20.076402065569855</v>
      </c>
      <c r="T31" s="41">
        <v>1.3858052119610822</v>
      </c>
      <c r="U31" s="41">
        <v>1.8373603938993739</v>
      </c>
      <c r="V31" s="41">
        <v>38.835691125255742</v>
      </c>
      <c r="W31" s="41">
        <v>7.1745166326407768</v>
      </c>
      <c r="X31" s="41">
        <v>7.8453344541852568</v>
      </c>
      <c r="Y31" s="41">
        <v>9.4044914134742292</v>
      </c>
      <c r="Z31" s="44">
        <v>5.6563588327128862</v>
      </c>
      <c r="AA31" s="34">
        <v>24.424342500300316</v>
      </c>
      <c r="AB31" s="44">
        <v>15.019851086825989</v>
      </c>
      <c r="AC31" s="44">
        <v>58.912093190825033</v>
      </c>
      <c r="AD31" s="44">
        <v>63.16705896481372</v>
      </c>
      <c r="AE31" s="34">
        <v>22.180473159601544</v>
      </c>
      <c r="AF31" s="34">
        <v>30.864200792602585</v>
      </c>
      <c r="AG31" s="41">
        <v>2.133192901700188</v>
      </c>
      <c r="AH31" s="41">
        <v>1.9205645598858754</v>
      </c>
      <c r="AI31" s="41">
        <v>1.0499797159588373</v>
      </c>
      <c r="AJ31" s="41">
        <v>1.9353588172700686</v>
      </c>
      <c r="AK31" s="41">
        <v>0.9859571799513912</v>
      </c>
      <c r="AL31" s="42">
        <v>5.3146269336797207</v>
      </c>
      <c r="AM31" s="41">
        <v>2.1108238420624721</v>
      </c>
      <c r="AN31" s="41">
        <v>0.77900049424983941</v>
      </c>
      <c r="AO31" s="41">
        <v>0.76371670291394955</v>
      </c>
      <c r="AP31" s="41">
        <v>0.84283854307700545</v>
      </c>
      <c r="AQ31" s="42">
        <v>3.2893377138374253</v>
      </c>
      <c r="AR31" s="41">
        <v>2.2985997376420531</v>
      </c>
      <c r="AS31" s="41">
        <v>2.4241855306727671</v>
      </c>
      <c r="AT31" s="41">
        <v>2.4778122503815672</v>
      </c>
      <c r="AU31" s="43">
        <v>2.279338617878341</v>
      </c>
      <c r="AV31" s="41">
        <v>3.9995854026847018</v>
      </c>
      <c r="AW31" s="41">
        <v>2.3737079535848822</v>
      </c>
      <c r="AX31" s="41">
        <v>6.1799892873116216</v>
      </c>
      <c r="AY31" s="41">
        <v>0.67112978003265844</v>
      </c>
      <c r="AZ31" s="41">
        <v>0.90859550027474567</v>
      </c>
      <c r="BA31" s="41">
        <v>10.598433629445219</v>
      </c>
      <c r="BB31" s="41">
        <v>2.2172149819471119</v>
      </c>
      <c r="BC31" s="41">
        <v>2.1063118870776258</v>
      </c>
      <c r="BD31" s="41">
        <v>2.2957482086524488</v>
      </c>
      <c r="BE31" s="44">
        <v>1.2972492669286333</v>
      </c>
      <c r="BF31" s="34">
        <v>5.2208486760713475</v>
      </c>
      <c r="BG31" s="44">
        <v>3.8529519537833488</v>
      </c>
      <c r="BH31" s="44">
        <v>15.39430798927118</v>
      </c>
      <c r="BI31" s="44">
        <v>10.12232585802516</v>
      </c>
      <c r="BJ31" s="34">
        <v>7.0818271476482657</v>
      </c>
      <c r="BK31" s="34">
        <v>5.556594700500936</v>
      </c>
    </row>
    <row r="32" spans="1:63" x14ac:dyDescent="0.4">
      <c r="A32" s="40" t="s">
        <v>82</v>
      </c>
      <c r="B32" s="41">
        <v>8.3172519806077965</v>
      </c>
      <c r="C32" s="41">
        <v>8.8736549603879045</v>
      </c>
      <c r="D32" s="41">
        <v>1.6744117299278771</v>
      </c>
      <c r="E32" s="41">
        <v>5.8515431003902041</v>
      </c>
      <c r="F32" s="41">
        <v>1.6683812226557897</v>
      </c>
      <c r="G32" s="42">
        <v>26.385242993969577</v>
      </c>
      <c r="H32" s="41">
        <v>9.0483623034173117</v>
      </c>
      <c r="I32" s="41">
        <v>3.2081116235071487</v>
      </c>
      <c r="J32" s="41">
        <v>3.0772732647510863</v>
      </c>
      <c r="K32" s="41">
        <v>3.2215915809388531</v>
      </c>
      <c r="L32" s="42">
        <v>18.55533877261448</v>
      </c>
      <c r="M32" s="41">
        <v>7.4904812581293898</v>
      </c>
      <c r="N32" s="41">
        <v>5.7248433250561837</v>
      </c>
      <c r="O32" s="41">
        <v>5.5115880335816492</v>
      </c>
      <c r="P32" s="43">
        <v>5.696996570888019</v>
      </c>
      <c r="Q32" s="41">
        <v>9.0048480548657821</v>
      </c>
      <c r="R32" s="41">
        <v>4.8531394111387076</v>
      </c>
      <c r="S32" s="41">
        <v>17.950869102518606</v>
      </c>
      <c r="T32" s="41">
        <v>1.25351779590872</v>
      </c>
      <c r="U32" s="41">
        <v>1.6713964762918316</v>
      </c>
      <c r="V32" s="41">
        <v>33.447794726262302</v>
      </c>
      <c r="W32" s="41">
        <v>8.1732292775215889</v>
      </c>
      <c r="X32" s="41">
        <v>8.473335698238154</v>
      </c>
      <c r="Y32" s="41">
        <v>9.7276812108312321</v>
      </c>
      <c r="Z32" s="44">
        <v>6.3543809861653209</v>
      </c>
      <c r="AA32" s="34">
        <v>26.374246186591119</v>
      </c>
      <c r="AB32" s="44">
        <v>16.64656497575961</v>
      </c>
      <c r="AC32" s="44">
        <v>51.398663828780798</v>
      </c>
      <c r="AD32" s="44">
        <v>56.455658034763914</v>
      </c>
      <c r="AE32" s="34">
        <v>18.986638287808919</v>
      </c>
      <c r="AF32" s="34">
        <v>27.622324701430777</v>
      </c>
      <c r="AG32" s="41">
        <v>2.1794884810764459</v>
      </c>
      <c r="AH32" s="41">
        <v>1.8575950297753436</v>
      </c>
      <c r="AI32" s="41">
        <v>0.77749890456769177</v>
      </c>
      <c r="AJ32" s="41">
        <v>1.6589803298840937</v>
      </c>
      <c r="AK32" s="41">
        <v>0.7633380203799347</v>
      </c>
      <c r="AL32" s="42">
        <v>4.8482668327899239</v>
      </c>
      <c r="AM32" s="41">
        <v>1.7982305965295644</v>
      </c>
      <c r="AN32" s="41">
        <v>0.75282817184718664</v>
      </c>
      <c r="AO32" s="41">
        <v>0.70858958808191919</v>
      </c>
      <c r="AP32" s="41">
        <v>0.71330799702848569</v>
      </c>
      <c r="AQ32" s="42">
        <v>2.9704461119490082</v>
      </c>
      <c r="AR32" s="41">
        <v>2.3381565690904811</v>
      </c>
      <c r="AS32" s="41">
        <v>2.0806397376523695</v>
      </c>
      <c r="AT32" s="41">
        <v>2.1818555472097794</v>
      </c>
      <c r="AU32" s="43">
        <v>2.0266378872665527</v>
      </c>
      <c r="AV32" s="41">
        <v>3.1675982038600479</v>
      </c>
      <c r="AW32" s="41">
        <v>1.9175828548048746</v>
      </c>
      <c r="AX32" s="41">
        <v>5.1328255339120306</v>
      </c>
      <c r="AY32" s="41">
        <v>0.53709527565908455</v>
      </c>
      <c r="AZ32" s="41">
        <v>0.80476400410417259</v>
      </c>
      <c r="BA32" s="41">
        <v>9.3331438549751322</v>
      </c>
      <c r="BB32" s="41">
        <v>2.162887932466993</v>
      </c>
      <c r="BC32" s="41">
        <v>1.9199444329633493</v>
      </c>
      <c r="BD32" s="41">
        <v>2.0346391277391271</v>
      </c>
      <c r="BE32" s="44">
        <v>1.2074445453504981</v>
      </c>
      <c r="BF32" s="34">
        <v>4.980094128592822</v>
      </c>
      <c r="BG32" s="44">
        <v>3.7188419827902788</v>
      </c>
      <c r="BH32" s="44">
        <v>13.170946262438049</v>
      </c>
      <c r="BI32" s="44">
        <v>9.544647311006111</v>
      </c>
      <c r="BJ32" s="34">
        <v>6.0939110918020267</v>
      </c>
      <c r="BK32" s="34">
        <v>5.4346110579065803</v>
      </c>
    </row>
    <row r="33" spans="1:63" x14ac:dyDescent="0.4">
      <c r="A33" s="40" t="s">
        <v>83</v>
      </c>
      <c r="B33" s="41">
        <v>9.0079353033830181</v>
      </c>
      <c r="C33" s="41">
        <v>9.0640649099202584</v>
      </c>
      <c r="D33" s="41">
        <v>1.9071124438027538</v>
      </c>
      <c r="E33" s="41">
        <v>6.2902774587340513</v>
      </c>
      <c r="F33" s="41">
        <v>1.9210776753191399</v>
      </c>
      <c r="G33" s="42">
        <v>28.190467791158785</v>
      </c>
      <c r="H33" s="41">
        <v>8.242362091031108</v>
      </c>
      <c r="I33" s="41">
        <v>3.0864207659238234</v>
      </c>
      <c r="J33" s="41">
        <v>2.9189795064483608</v>
      </c>
      <c r="K33" s="41">
        <v>2.9643270272044813</v>
      </c>
      <c r="L33" s="42">
        <v>17.212089390608273</v>
      </c>
      <c r="M33" s="41">
        <v>6.7130143897878227</v>
      </c>
      <c r="N33" s="41">
        <v>6.3155600859776229</v>
      </c>
      <c r="O33" s="41">
        <v>6.3975773635676827</v>
      </c>
      <c r="P33" s="43">
        <v>6.2522171266367552</v>
      </c>
      <c r="Q33" s="41">
        <v>10.120089915663264</v>
      </c>
      <c r="R33" s="41">
        <v>5.5490147015392042</v>
      </c>
      <c r="S33" s="41">
        <v>19.058968184951127</v>
      </c>
      <c r="T33" s="41">
        <v>1.3075283857841438</v>
      </c>
      <c r="U33" s="41">
        <v>1.7498871952220059</v>
      </c>
      <c r="V33" s="41">
        <v>37.372430102057329</v>
      </c>
      <c r="W33" s="41">
        <v>7.8783123584813062</v>
      </c>
      <c r="X33" s="41">
        <v>8.1358313096841215</v>
      </c>
      <c r="Y33" s="41">
        <v>9.4808457486956872</v>
      </c>
      <c r="Z33" s="44">
        <v>5.9248474059002731</v>
      </c>
      <c r="AA33" s="34">
        <v>25.494989416861021</v>
      </c>
      <c r="AB33" s="44">
        <v>16.01414366816541</v>
      </c>
      <c r="AC33" s="44">
        <v>56.431398287008598</v>
      </c>
      <c r="AD33" s="44">
        <v>60.483388983690944</v>
      </c>
      <c r="AE33" s="34">
        <v>21.256224772749729</v>
      </c>
      <c r="AF33" s="34">
        <v>29.751429544186028</v>
      </c>
      <c r="AG33" s="41">
        <v>1.9701517515157554</v>
      </c>
      <c r="AH33" s="41">
        <v>1.7087426727225936</v>
      </c>
      <c r="AI33" s="41">
        <v>0.83287791272161438</v>
      </c>
      <c r="AJ33" s="41">
        <v>1.7094507994293617</v>
      </c>
      <c r="AK33" s="41">
        <v>0.83573799385981551</v>
      </c>
      <c r="AL33" s="42">
        <v>4.6072531053718411</v>
      </c>
      <c r="AM33" s="41">
        <v>1.8218999167724106</v>
      </c>
      <c r="AN33" s="41">
        <v>0.72798572410862739</v>
      </c>
      <c r="AO33" s="41">
        <v>0.71681921455409281</v>
      </c>
      <c r="AP33" s="41">
        <v>0.74184754443589163</v>
      </c>
      <c r="AQ33" s="42">
        <v>3.0237893221520618</v>
      </c>
      <c r="AR33" s="41">
        <v>2.2650408049898743</v>
      </c>
      <c r="AS33" s="41">
        <v>2.1988248321452959</v>
      </c>
      <c r="AT33" s="41">
        <v>2.3724815948876734</v>
      </c>
      <c r="AU33" s="43">
        <v>2.1628659420114187</v>
      </c>
      <c r="AV33" s="41">
        <v>3.6453182270834299</v>
      </c>
      <c r="AW33" s="41">
        <v>2.1858869062436286</v>
      </c>
      <c r="AX33" s="41">
        <v>5.528950651667353</v>
      </c>
      <c r="AY33" s="41">
        <v>0.57900963087142565</v>
      </c>
      <c r="AZ33" s="41">
        <v>0.85384637686558507</v>
      </c>
      <c r="BA33" s="41">
        <v>10.101195967901409</v>
      </c>
      <c r="BB33" s="41">
        <v>2.1611773688030924</v>
      </c>
      <c r="BC33" s="41">
        <v>1.9367019257792901</v>
      </c>
      <c r="BD33" s="41">
        <v>2.1519578904573455</v>
      </c>
      <c r="BE33" s="44">
        <v>1.2172478291068953</v>
      </c>
      <c r="BF33" s="34">
        <v>4.9975777479692525</v>
      </c>
      <c r="BG33" s="44">
        <v>3.6990653562695277</v>
      </c>
      <c r="BH33" s="44">
        <v>14.274861727833278</v>
      </c>
      <c r="BI33" s="44">
        <v>9.544738126898153</v>
      </c>
      <c r="BJ33" s="34">
        <v>6.7135252419691547</v>
      </c>
      <c r="BK33" s="34">
        <v>5.3456813896577318</v>
      </c>
    </row>
    <row r="34" spans="1:63" x14ac:dyDescent="0.4">
      <c r="A34" s="40" t="s">
        <v>84</v>
      </c>
      <c r="B34" s="41">
        <v>8.4462044319811671</v>
      </c>
      <c r="C34" s="41">
        <v>8.6950711971468237</v>
      </c>
      <c r="D34" s="41">
        <v>2.2583754035234702</v>
      </c>
      <c r="E34" s="41">
        <v>6.3603288399643461</v>
      </c>
      <c r="F34" s="41">
        <v>2.1513307655409992</v>
      </c>
      <c r="G34" s="42">
        <v>27.911310638156142</v>
      </c>
      <c r="H34" s="41">
        <v>7.6332607699421162</v>
      </c>
      <c r="I34" s="41">
        <v>2.8816601776707524</v>
      </c>
      <c r="J34" s="41">
        <v>2.8254901237321657</v>
      </c>
      <c r="K34" s="41">
        <v>2.7972192767296007</v>
      </c>
      <c r="L34" s="42">
        <v>16.137630348075284</v>
      </c>
      <c r="M34" s="41">
        <v>6.4365236093041585</v>
      </c>
      <c r="N34" s="41">
        <v>6.4111478116813352</v>
      </c>
      <c r="O34" s="41">
        <v>6.8736685794097712</v>
      </c>
      <c r="P34" s="43">
        <v>6.2409414739086975</v>
      </c>
      <c r="Q34" s="41">
        <v>10.664367310860358</v>
      </c>
      <c r="R34" s="41">
        <v>5.8901431963931659</v>
      </c>
      <c r="S34" s="41">
        <v>19.755656548967146</v>
      </c>
      <c r="T34" s="41">
        <v>1.3682974446670819</v>
      </c>
      <c r="U34" s="41">
        <v>1.7805644544189287</v>
      </c>
      <c r="V34" s="41">
        <v>38.753601566554998</v>
      </c>
      <c r="W34" s="41">
        <v>7.5798285536142158</v>
      </c>
      <c r="X34" s="41">
        <v>8.0305889184953561</v>
      </c>
      <c r="Y34" s="41">
        <v>9.5979095112586155</v>
      </c>
      <c r="Z34" s="44">
        <v>5.7217228698742897</v>
      </c>
      <c r="AA34" s="34">
        <v>25.208326983367474</v>
      </c>
      <c r="AB34" s="44">
        <v>15.610417472110344</v>
      </c>
      <c r="AC34" s="44">
        <v>58.509258115521611</v>
      </c>
      <c r="AD34" s="44">
        <v>61.565353306714769</v>
      </c>
      <c r="AE34" s="34">
        <v>22.153615148799382</v>
      </c>
      <c r="AF34" s="34">
        <v>30.202526189930715</v>
      </c>
      <c r="AG34" s="41">
        <v>2.1316148918958322</v>
      </c>
      <c r="AH34" s="41">
        <v>1.9083315370725624</v>
      </c>
      <c r="AI34" s="41">
        <v>1.0334196129987039</v>
      </c>
      <c r="AJ34" s="41">
        <v>1.9177965901079557</v>
      </c>
      <c r="AK34" s="41">
        <v>0.9385606148362845</v>
      </c>
      <c r="AL34" s="42">
        <v>5.2368676531790097</v>
      </c>
      <c r="AM34" s="41">
        <v>1.9992333650940453</v>
      </c>
      <c r="AN34" s="41">
        <v>0.77609942104305607</v>
      </c>
      <c r="AO34" s="41">
        <v>0.75597215271654172</v>
      </c>
      <c r="AP34" s="41">
        <v>0.81625113713084196</v>
      </c>
      <c r="AQ34" s="42">
        <v>3.2227401891132503</v>
      </c>
      <c r="AR34" s="41">
        <v>2.2742163307419991</v>
      </c>
      <c r="AS34" s="41">
        <v>2.3877849471439676</v>
      </c>
      <c r="AT34" s="41">
        <v>2.4791919281450654</v>
      </c>
      <c r="AU34" s="43">
        <v>2.3135766551899173</v>
      </c>
      <c r="AV34" s="41">
        <v>3.9396099709964782</v>
      </c>
      <c r="AW34" s="41">
        <v>2.3665137115138815</v>
      </c>
      <c r="AX34" s="41">
        <v>5.9378627388564702</v>
      </c>
      <c r="AY34" s="41">
        <v>0.64598048913984929</v>
      </c>
      <c r="AZ34" s="41">
        <v>0.88325446445431355</v>
      </c>
      <c r="BA34" s="41">
        <v>10.657872184421</v>
      </c>
      <c r="BB34" s="41">
        <v>2.238631877249357</v>
      </c>
      <c r="BC34" s="41">
        <v>2.1165664310150052</v>
      </c>
      <c r="BD34" s="41">
        <v>2.2011779407529017</v>
      </c>
      <c r="BE34" s="44">
        <v>1.2833670220680717</v>
      </c>
      <c r="BF34" s="34">
        <v>5.2340933494149242</v>
      </c>
      <c r="BG34" s="44">
        <v>3.9360150303038623</v>
      </c>
      <c r="BH34" s="44">
        <v>15.193470908144901</v>
      </c>
      <c r="BI34" s="44">
        <v>10.261022236000249</v>
      </c>
      <c r="BJ34" s="34">
        <v>7.0972727189850602</v>
      </c>
      <c r="BK34" s="34">
        <v>5.6782896161419352</v>
      </c>
    </row>
    <row r="35" spans="1:63" x14ac:dyDescent="0.4">
      <c r="A35" s="40" t="s">
        <v>85</v>
      </c>
      <c r="B35" s="41">
        <v>8.749737256134436</v>
      </c>
      <c r="C35" s="41">
        <v>8.8656664033972508</v>
      </c>
      <c r="D35" s="41">
        <v>2.1883799492328722</v>
      </c>
      <c r="E35" s="41">
        <v>6.4061080849379257</v>
      </c>
      <c r="F35" s="41">
        <v>2.0950722600243479</v>
      </c>
      <c r="G35" s="42">
        <v>28.30496395372619</v>
      </c>
      <c r="H35" s="41">
        <v>7.8088244074853534</v>
      </c>
      <c r="I35" s="41">
        <v>2.9383240023863948</v>
      </c>
      <c r="J35" s="41">
        <v>2.8260016669976826</v>
      </c>
      <c r="K35" s="41">
        <v>2.8272191480446853</v>
      </c>
      <c r="L35" s="42">
        <v>16.400369224913657</v>
      </c>
      <c r="M35" s="41">
        <v>6.468100588789012</v>
      </c>
      <c r="N35" s="41">
        <v>6.4569228700516028</v>
      </c>
      <c r="O35" s="41">
        <v>6.8429430031488563</v>
      </c>
      <c r="P35" s="43">
        <v>6.3393776963103443</v>
      </c>
      <c r="Q35" s="41">
        <v>10.686137949146213</v>
      </c>
      <c r="R35" s="41">
        <v>5.8979461560757231</v>
      </c>
      <c r="S35" s="41">
        <v>19.631572176771837</v>
      </c>
      <c r="T35" s="41">
        <v>1.3606554591743776</v>
      </c>
      <c r="U35" s="41">
        <v>1.7782111669419851</v>
      </c>
      <c r="V35" s="41">
        <v>38.85728092986708</v>
      </c>
      <c r="W35" s="41">
        <v>7.7049671576236181</v>
      </c>
      <c r="X35" s="41">
        <v>8.07914597685199</v>
      </c>
      <c r="Y35" s="41">
        <v>9.5675898584022327</v>
      </c>
      <c r="Z35" s="44">
        <v>5.7409105185411802</v>
      </c>
      <c r="AA35" s="34">
        <v>25.351702992875779</v>
      </c>
      <c r="AB35" s="44">
        <v>15.784113134474472</v>
      </c>
      <c r="AC35" s="44">
        <v>58.488853106640107</v>
      </c>
      <c r="AD35" s="44">
        <v>61.55289173593237</v>
      </c>
      <c r="AE35" s="34">
        <v>22.219133481650815</v>
      </c>
      <c r="AF35" s="34">
        <v>30.156799714172273</v>
      </c>
      <c r="AG35" s="41">
        <v>2.0416765050614667</v>
      </c>
      <c r="AH35" s="41">
        <v>1.8205410409992726</v>
      </c>
      <c r="AI35" s="41">
        <v>0.99881970756385974</v>
      </c>
      <c r="AJ35" s="41">
        <v>1.8562996863862484</v>
      </c>
      <c r="AK35" s="41">
        <v>0.91605122369103364</v>
      </c>
      <c r="AL35" s="42">
        <v>4.9534439816853046</v>
      </c>
      <c r="AM35" s="41">
        <v>1.9483240480037862</v>
      </c>
      <c r="AN35" s="41">
        <v>0.75915439170127397</v>
      </c>
      <c r="AO35" s="41">
        <v>0.74858750853418954</v>
      </c>
      <c r="AP35" s="41">
        <v>0.80178927889489904</v>
      </c>
      <c r="AQ35" s="42">
        <v>3.1873502455727083</v>
      </c>
      <c r="AR35" s="41">
        <v>2.2497475773813389</v>
      </c>
      <c r="AS35" s="41">
        <v>2.3347939830045914</v>
      </c>
      <c r="AT35" s="41">
        <v>2.4457077739777553</v>
      </c>
      <c r="AU35" s="43">
        <v>2.2747613453436997</v>
      </c>
      <c r="AV35" s="41">
        <v>3.8946306223965643</v>
      </c>
      <c r="AW35" s="41">
        <v>2.3350343279575028</v>
      </c>
      <c r="AX35" s="41">
        <v>5.8478548357248545</v>
      </c>
      <c r="AY35" s="41">
        <v>0.63620047676999647</v>
      </c>
      <c r="AZ35" s="41">
        <v>0.87775009077939714</v>
      </c>
      <c r="BA35" s="41">
        <v>10.493709159705915</v>
      </c>
      <c r="BB35" s="41">
        <v>2.2186350640782648</v>
      </c>
      <c r="BC35" s="41">
        <v>2.0747706723978285</v>
      </c>
      <c r="BD35" s="41">
        <v>2.1848057214756378</v>
      </c>
      <c r="BE35" s="44">
        <v>1.2665257663471914</v>
      </c>
      <c r="BF35" s="34">
        <v>5.1820841930669461</v>
      </c>
      <c r="BG35" s="44">
        <v>3.8836420413176116</v>
      </c>
      <c r="BH35" s="44">
        <v>14.937726675312012</v>
      </c>
      <c r="BI35" s="44">
        <v>10.041894070747936</v>
      </c>
      <c r="BJ35" s="34">
        <v>6.9983679466772291</v>
      </c>
      <c r="BK35" s="34">
        <v>5.576375780925602</v>
      </c>
    </row>
    <row r="36" spans="1:63" x14ac:dyDescent="0.4">
      <c r="A36" s="40" t="s">
        <v>86</v>
      </c>
      <c r="B36" s="41">
        <v>7.6670324837815196</v>
      </c>
      <c r="C36" s="41">
        <v>8.2686109457148689</v>
      </c>
      <c r="D36" s="41">
        <v>2.1187660288216974</v>
      </c>
      <c r="E36" s="41">
        <v>6.0097213952419448</v>
      </c>
      <c r="F36" s="41">
        <v>2.1737125377978366</v>
      </c>
      <c r="G36" s="42">
        <v>26.23784339135808</v>
      </c>
      <c r="H36" s="41">
        <v>7.5255780104997356</v>
      </c>
      <c r="I36" s="41">
        <v>2.783634743285893</v>
      </c>
      <c r="J36" s="41">
        <v>2.9133208021512949</v>
      </c>
      <c r="K36" s="41">
        <v>2.8121412365397047</v>
      </c>
      <c r="L36" s="42">
        <v>16.034674792476896</v>
      </c>
      <c r="M36" s="41">
        <v>6.582003354620837</v>
      </c>
      <c r="N36" s="41">
        <v>5.9970540047245278</v>
      </c>
      <c r="O36" s="41">
        <v>6.4002856486833428</v>
      </c>
      <c r="P36" s="43">
        <v>5.7497772018104705</v>
      </c>
      <c r="Q36" s="41">
        <v>9.7829575924563805</v>
      </c>
      <c r="R36" s="41">
        <v>5.3705299288991286</v>
      </c>
      <c r="S36" s="41">
        <v>19.48611646215917</v>
      </c>
      <c r="T36" s="41">
        <v>1.3344268930062764</v>
      </c>
      <c r="U36" s="41">
        <v>1.7496448849816655</v>
      </c>
      <c r="V36" s="41">
        <v>36.348071093054166</v>
      </c>
      <c r="W36" s="41">
        <v>7.3594542319982299</v>
      </c>
      <c r="X36" s="41">
        <v>7.9144065784813451</v>
      </c>
      <c r="Y36" s="41">
        <v>9.6264579174106562</v>
      </c>
      <c r="Z36" s="44">
        <v>5.8493767488199833</v>
      </c>
      <c r="AA36" s="34">
        <v>24.900318727889996</v>
      </c>
      <c r="AB36" s="44">
        <v>15.273860810479396</v>
      </c>
      <c r="AC36" s="44">
        <v>55.834187555213767</v>
      </c>
      <c r="AD36" s="44">
        <v>60.302849870991366</v>
      </c>
      <c r="AE36" s="34">
        <v>20.604664557380747</v>
      </c>
      <c r="AF36" s="34">
        <v>29.867593662803092</v>
      </c>
      <c r="AG36" s="41">
        <v>2.1469045843629901</v>
      </c>
      <c r="AH36" s="41">
        <v>1.9721596239640682</v>
      </c>
      <c r="AI36" s="41">
        <v>1.0102092865764674</v>
      </c>
      <c r="AJ36" s="41">
        <v>1.8930635526756361</v>
      </c>
      <c r="AK36" s="41">
        <v>0.94353087988293505</v>
      </c>
      <c r="AL36" s="42">
        <v>5.2804216032194189</v>
      </c>
      <c r="AM36" s="41">
        <v>2.0957638504422742</v>
      </c>
      <c r="AN36" s="41">
        <v>0.81583953507465612</v>
      </c>
      <c r="AO36" s="41">
        <v>0.73695979974643122</v>
      </c>
      <c r="AP36" s="41">
        <v>0.81077205489797155</v>
      </c>
      <c r="AQ36" s="42">
        <v>3.3270732181231617</v>
      </c>
      <c r="AR36" s="41">
        <v>2.3502544042568108</v>
      </c>
      <c r="AS36" s="41">
        <v>2.3675794975571791</v>
      </c>
      <c r="AT36" s="41">
        <v>2.5030347003034352</v>
      </c>
      <c r="AU36" s="43">
        <v>2.2193027330163173</v>
      </c>
      <c r="AV36" s="41">
        <v>3.706398557316954</v>
      </c>
      <c r="AW36" s="41">
        <v>2.2482857941056045</v>
      </c>
      <c r="AX36" s="41">
        <v>5.9113252310261801</v>
      </c>
      <c r="AY36" s="41">
        <v>0.61952498260668154</v>
      </c>
      <c r="AZ36" s="41">
        <v>0.87160863081097351</v>
      </c>
      <c r="BA36" s="41">
        <v>10.420600155901408</v>
      </c>
      <c r="BB36" s="41">
        <v>2.2181447157238252</v>
      </c>
      <c r="BC36" s="41">
        <v>2.0958212471380673</v>
      </c>
      <c r="BD36" s="41">
        <v>2.1974209917770371</v>
      </c>
      <c r="BE36" s="44">
        <v>1.2780987920571099</v>
      </c>
      <c r="BF36" s="34">
        <v>5.1615857841911428</v>
      </c>
      <c r="BG36" s="44">
        <v>3.8909367877884753</v>
      </c>
      <c r="BH36" s="44">
        <v>15.051149210496611</v>
      </c>
      <c r="BI36" s="44">
        <v>10.212827613469733</v>
      </c>
      <c r="BJ36" s="34">
        <v>6.9101364524654327</v>
      </c>
      <c r="BK36" s="34">
        <v>5.7000405277398576</v>
      </c>
    </row>
    <row r="37" spans="1:63" x14ac:dyDescent="0.4">
      <c r="A37" s="40" t="s">
        <v>87</v>
      </c>
      <c r="B37" s="41">
        <v>7.6549035684337836</v>
      </c>
      <c r="C37" s="41">
        <v>7.8611944470326005</v>
      </c>
      <c r="D37" s="41">
        <v>2.6601472095406975</v>
      </c>
      <c r="E37" s="41">
        <v>6.0041777694960272</v>
      </c>
      <c r="F37" s="41">
        <v>2.2778868908972738</v>
      </c>
      <c r="G37" s="42">
        <v>26.458309885400435</v>
      </c>
      <c r="H37" s="41">
        <v>7.3004416286218206</v>
      </c>
      <c r="I37" s="41">
        <v>2.613912233299224</v>
      </c>
      <c r="J37" s="41">
        <v>2.9552482996366489</v>
      </c>
      <c r="K37" s="41">
        <v>2.8015689928258478</v>
      </c>
      <c r="L37" s="42">
        <v>15.671171154383682</v>
      </c>
      <c r="M37" s="41">
        <v>6.6722221186993904</v>
      </c>
      <c r="N37" s="41">
        <v>6.1456778160812799</v>
      </c>
      <c r="O37" s="41">
        <v>6.6454486164167674</v>
      </c>
      <c r="P37" s="43">
        <v>5.6108487841237498</v>
      </c>
      <c r="Q37" s="41">
        <v>9.7544805739311276</v>
      </c>
      <c r="R37" s="41">
        <v>5.4106810770519962</v>
      </c>
      <c r="S37" s="41">
        <v>19.608884747973182</v>
      </c>
      <c r="T37" s="41">
        <v>1.3219267679120321</v>
      </c>
      <c r="U37" s="41">
        <v>1.7405534333364272</v>
      </c>
      <c r="V37" s="41">
        <v>36.484233671852515</v>
      </c>
      <c r="W37" s="41">
        <v>7.05604024969705</v>
      </c>
      <c r="X37" s="41">
        <v>7.965508245597702</v>
      </c>
      <c r="Y37" s="41">
        <v>9.7523972794185365</v>
      </c>
      <c r="Z37" s="44">
        <v>5.8794968787848303</v>
      </c>
      <c r="AA37" s="34">
        <v>24.773945774713923</v>
      </c>
      <c r="AB37" s="44">
        <v>15.021548495294752</v>
      </c>
      <c r="AC37" s="44">
        <v>56.093118419825238</v>
      </c>
      <c r="AD37" s="44">
        <v>61.013192956302291</v>
      </c>
      <c r="AE37" s="34">
        <v>20.729458678840391</v>
      </c>
      <c r="AF37" s="34">
        <v>30.332913444517501</v>
      </c>
      <c r="AG37" s="41">
        <v>2.0932345820762532</v>
      </c>
      <c r="AH37" s="41">
        <v>1.9886729857135645</v>
      </c>
      <c r="AI37" s="41">
        <v>1.066146645593878</v>
      </c>
      <c r="AJ37" s="41">
        <v>1.9753292685918795</v>
      </c>
      <c r="AK37" s="41">
        <v>0.98863874855140321</v>
      </c>
      <c r="AL37" s="42">
        <v>5.460277500769009</v>
      </c>
      <c r="AM37" s="41">
        <v>2.1114781336112922</v>
      </c>
      <c r="AN37" s="41">
        <v>0.83135282180468362</v>
      </c>
      <c r="AO37" s="41">
        <v>0.72926641944129644</v>
      </c>
      <c r="AP37" s="41">
        <v>0.82030373068386087</v>
      </c>
      <c r="AQ37" s="42">
        <v>3.2871609614950041</v>
      </c>
      <c r="AR37" s="41">
        <v>2.4279595201464526</v>
      </c>
      <c r="AS37" s="41">
        <v>2.4439579551321575</v>
      </c>
      <c r="AT37" s="41">
        <v>2.5441281792286126</v>
      </c>
      <c r="AU37" s="43">
        <v>2.2499618775969736</v>
      </c>
      <c r="AV37" s="41">
        <v>3.6904928435603348</v>
      </c>
      <c r="AW37" s="41">
        <v>2.2672038460605179</v>
      </c>
      <c r="AX37" s="41">
        <v>5.9523764363559888</v>
      </c>
      <c r="AY37" s="41">
        <v>0.61862464872055778</v>
      </c>
      <c r="AZ37" s="41">
        <v>0.88009795577973193</v>
      </c>
      <c r="BA37" s="41">
        <v>10.540740404031832</v>
      </c>
      <c r="BB37" s="41">
        <v>2.2898148177991158</v>
      </c>
      <c r="BC37" s="41">
        <v>2.1606739386777427</v>
      </c>
      <c r="BD37" s="41">
        <v>2.2295732536731201</v>
      </c>
      <c r="BE37" s="44">
        <v>1.30445895659724</v>
      </c>
      <c r="BF37" s="34">
        <v>5.2472308344098826</v>
      </c>
      <c r="BG37" s="44">
        <v>3.9708558952384476</v>
      </c>
      <c r="BH37" s="44">
        <v>15.216141923203368</v>
      </c>
      <c r="BI37" s="44">
        <v>10.49004325548194</v>
      </c>
      <c r="BJ37" s="34">
        <v>6.9208474267706945</v>
      </c>
      <c r="BK37" s="34">
        <v>5.7971112432054355</v>
      </c>
    </row>
    <row r="38" spans="1:63" x14ac:dyDescent="0.4">
      <c r="A38" s="40" t="s">
        <v>88</v>
      </c>
      <c r="B38" s="41">
        <v>7.2029315137730467</v>
      </c>
      <c r="C38" s="41">
        <v>7.896519942321059</v>
      </c>
      <c r="D38" s="41">
        <v>1.7233644026222963</v>
      </c>
      <c r="E38" s="41">
        <v>5.9473159999405771</v>
      </c>
      <c r="F38" s="41">
        <v>2.1064085983142382</v>
      </c>
      <c r="G38" s="42">
        <v>24.876540456971263</v>
      </c>
      <c r="H38" s="41">
        <v>7.5438463482435845</v>
      </c>
      <c r="I38" s="41">
        <v>2.7145787807162369</v>
      </c>
      <c r="J38" s="41">
        <v>2.9018864558712254</v>
      </c>
      <c r="K38" s="41">
        <v>2.7155599161575195</v>
      </c>
      <c r="L38" s="42">
        <v>15.875871500988508</v>
      </c>
      <c r="M38" s="41">
        <v>6.4829118910642203</v>
      </c>
      <c r="N38" s="41">
        <v>6.0708944684773032</v>
      </c>
      <c r="O38" s="41">
        <v>6.4398608571556561</v>
      </c>
      <c r="P38" s="43">
        <v>5.6929343382539841</v>
      </c>
      <c r="Q38" s="41">
        <v>9.903239233525083</v>
      </c>
      <c r="R38" s="41">
        <v>5.4833578617194201</v>
      </c>
      <c r="S38" s="41">
        <v>20.035157353312513</v>
      </c>
      <c r="T38" s="41">
        <v>1.3423568062554663</v>
      </c>
      <c r="U38" s="41">
        <v>1.76021644442461</v>
      </c>
      <c r="V38" s="41">
        <v>36.624017006347586</v>
      </c>
      <c r="W38" s="41">
        <v>7.1214675407691628</v>
      </c>
      <c r="X38" s="41">
        <v>7.7274970640265233</v>
      </c>
      <c r="Y38" s="41">
        <v>9.5722100819099438</v>
      </c>
      <c r="Z38" s="44">
        <v>5.7969198293419355</v>
      </c>
      <c r="AA38" s="34">
        <v>24.421174686705605</v>
      </c>
      <c r="AB38" s="44">
        <v>14.848964604795517</v>
      </c>
      <c r="AC38" s="44">
        <v>56.659174359660405</v>
      </c>
      <c r="AD38" s="44">
        <v>59.579494269276964</v>
      </c>
      <c r="AE38" s="34">
        <v>20.718726307808872</v>
      </c>
      <c r="AF38" s="34">
        <v>29.810120560733903</v>
      </c>
      <c r="AG38" s="41">
        <v>2.1708852545975041</v>
      </c>
      <c r="AH38" s="41">
        <v>2.0435172972163342</v>
      </c>
      <c r="AI38" s="41">
        <v>0.91547620961921072</v>
      </c>
      <c r="AJ38" s="41">
        <v>1.9630941384501008</v>
      </c>
      <c r="AK38" s="41">
        <v>0.94320748131924559</v>
      </c>
      <c r="AL38" s="42">
        <v>5.3841842721192785</v>
      </c>
      <c r="AM38" s="41">
        <v>2.0915662884774036</v>
      </c>
      <c r="AN38" s="41">
        <v>0.8335119165130449</v>
      </c>
      <c r="AO38" s="41">
        <v>0.75920204274033876</v>
      </c>
      <c r="AP38" s="41">
        <v>0.83838108771918263</v>
      </c>
      <c r="AQ38" s="42">
        <v>3.349401753551859</v>
      </c>
      <c r="AR38" s="41">
        <v>2.3682869096974275</v>
      </c>
      <c r="AS38" s="41">
        <v>2.4003444440491863</v>
      </c>
      <c r="AT38" s="41">
        <v>2.4823272508414904</v>
      </c>
      <c r="AU38" s="43">
        <v>2.2505582338261481</v>
      </c>
      <c r="AV38" s="41">
        <v>3.7038235134551991</v>
      </c>
      <c r="AW38" s="41">
        <v>2.2949235038273903</v>
      </c>
      <c r="AX38" s="41">
        <v>5.7355082925075642</v>
      </c>
      <c r="AY38" s="41">
        <v>0.62167259900963612</v>
      </c>
      <c r="AZ38" s="41">
        <v>0.86905235499771671</v>
      </c>
      <c r="BA38" s="41">
        <v>10.485815163764679</v>
      </c>
      <c r="BB38" s="41">
        <v>2.22687614274402</v>
      </c>
      <c r="BC38" s="41">
        <v>2.1825533458453452</v>
      </c>
      <c r="BD38" s="41">
        <v>2.2646669339408874</v>
      </c>
      <c r="BE38" s="44">
        <v>1.3090243137734514</v>
      </c>
      <c r="BF38" s="34">
        <v>5.2682251594574456</v>
      </c>
      <c r="BG38" s="44">
        <v>3.9781421740624463</v>
      </c>
      <c r="BH38" s="44">
        <v>14.895856030643142</v>
      </c>
      <c r="BI38" s="44">
        <v>10.516644522450147</v>
      </c>
      <c r="BJ38" s="34">
        <v>6.9416513072003507</v>
      </c>
      <c r="BK38" s="34">
        <v>5.8650784106498577</v>
      </c>
    </row>
    <row r="39" spans="1:63" x14ac:dyDescent="0.4">
      <c r="A39" s="40" t="s">
        <v>98</v>
      </c>
      <c r="B39" s="41">
        <v>8.3510509663637666</v>
      </c>
      <c r="C39" s="41">
        <v>8.8213685548388412</v>
      </c>
      <c r="D39" s="41">
        <v>1.9624116790351651</v>
      </c>
      <c r="E39" s="41">
        <v>6.100885817265886</v>
      </c>
      <c r="F39" s="41">
        <v>2.1122009449232118</v>
      </c>
      <c r="G39" s="42">
        <v>27.347917962427388</v>
      </c>
      <c r="H39" s="41">
        <v>7.4676442978168636</v>
      </c>
      <c r="I39" s="41">
        <v>2.9064734583186569</v>
      </c>
      <c r="J39" s="41">
        <v>2.834510946198129</v>
      </c>
      <c r="K39" s="41">
        <v>2.8472438450572666</v>
      </c>
      <c r="L39" s="42">
        <v>16.0558725473912</v>
      </c>
      <c r="M39" s="41">
        <v>6.4133479102361015</v>
      </c>
      <c r="N39" s="41">
        <v>6.2711497081400234</v>
      </c>
      <c r="O39" s="41">
        <v>6.7461841866359817</v>
      </c>
      <c r="P39" s="43">
        <v>6.1721606910377664</v>
      </c>
      <c r="Q39" s="41">
        <v>10.351047103226927</v>
      </c>
      <c r="R39" s="41">
        <v>5.7098475219908131</v>
      </c>
      <c r="S39" s="41">
        <v>19.726045654550287</v>
      </c>
      <c r="T39" s="41">
        <v>1.3428456638221282</v>
      </c>
      <c r="U39" s="41">
        <v>1.7243458743630447</v>
      </c>
      <c r="V39" s="41">
        <v>38.127193778802415</v>
      </c>
      <c r="W39" s="41">
        <v>7.5599153200415872</v>
      </c>
      <c r="X39" s="41">
        <v>8.0833008185986461</v>
      </c>
      <c r="Y39" s="41">
        <v>9.6005786978910947</v>
      </c>
      <c r="Z39" s="44">
        <v>5.8223845598149984</v>
      </c>
      <c r="AA39" s="34">
        <v>25.243794836530903</v>
      </c>
      <c r="AB39" s="44">
        <v>15.643216138640385</v>
      </c>
      <c r="AC39" s="44">
        <v>57.853239433354403</v>
      </c>
      <c r="AD39" s="44">
        <v>61.04825057850524</v>
      </c>
      <c r="AE39" s="34">
        <v>21.695383937850167</v>
      </c>
      <c r="AF39" s="34">
        <v>30.240190529906013</v>
      </c>
      <c r="AG39" s="41">
        <v>2.1665259709927023</v>
      </c>
      <c r="AH39" s="41">
        <v>1.9270126202074893</v>
      </c>
      <c r="AI39" s="41">
        <v>0.939167623732171</v>
      </c>
      <c r="AJ39" s="41">
        <v>1.8391342543326545</v>
      </c>
      <c r="AK39" s="41">
        <v>0.90761654498628419</v>
      </c>
      <c r="AL39" s="42">
        <v>5.1045256816835902</v>
      </c>
      <c r="AM39" s="41">
        <v>2.002072718740147</v>
      </c>
      <c r="AN39" s="41">
        <v>0.76332848391906227</v>
      </c>
      <c r="AO39" s="41">
        <v>0.74021722945348434</v>
      </c>
      <c r="AP39" s="41">
        <v>0.80870240709920027</v>
      </c>
      <c r="AQ39" s="42">
        <v>3.1787153646339377</v>
      </c>
      <c r="AR39" s="41">
        <v>2.2990780002675035</v>
      </c>
      <c r="AS39" s="41">
        <v>2.3460422902943123</v>
      </c>
      <c r="AT39" s="41">
        <v>2.474284244472805</v>
      </c>
      <c r="AU39" s="43">
        <v>2.259651052859704</v>
      </c>
      <c r="AV39" s="41">
        <v>3.897689962737696</v>
      </c>
      <c r="AW39" s="41">
        <v>2.3241181723903952</v>
      </c>
      <c r="AX39" s="41">
        <v>5.9454533744767017</v>
      </c>
      <c r="AY39" s="41">
        <v>0.63435456344292607</v>
      </c>
      <c r="AZ39" s="41">
        <v>0.87737884058975224</v>
      </c>
      <c r="BA39" s="41">
        <v>10.403116833545482</v>
      </c>
      <c r="BB39" s="41">
        <v>2.2195501956452039</v>
      </c>
      <c r="BC39" s="41">
        <v>2.0696852412253661</v>
      </c>
      <c r="BD39" s="41">
        <v>2.1928878496152708</v>
      </c>
      <c r="BE39" s="44">
        <v>1.2476401294006505</v>
      </c>
      <c r="BF39" s="34">
        <v>5.1031986089755366</v>
      </c>
      <c r="BG39" s="44">
        <v>3.8380618163898195</v>
      </c>
      <c r="BH39" s="44">
        <v>14.933664986609758</v>
      </c>
      <c r="BI39" s="44">
        <v>9.8370126386303678</v>
      </c>
      <c r="BJ39" s="34">
        <v>6.9879444260649333</v>
      </c>
      <c r="BK39" s="34">
        <v>5.5496196627454619</v>
      </c>
    </row>
    <row r="40" spans="1:63" x14ac:dyDescent="0.4">
      <c r="A40" s="40" t="s">
        <v>89</v>
      </c>
      <c r="B40" s="41">
        <v>8.6421697287839052</v>
      </c>
      <c r="C40" s="41">
        <v>9.1046369203849622</v>
      </c>
      <c r="D40" s="41">
        <v>1.7961504811898488</v>
      </c>
      <c r="E40" s="41">
        <v>6.1592300962379545</v>
      </c>
      <c r="F40" s="41">
        <v>1.7489063867016668</v>
      </c>
      <c r="G40" s="42">
        <v>27.451093613298223</v>
      </c>
      <c r="H40" s="41">
        <v>8.9604549431321274</v>
      </c>
      <c r="I40" s="41">
        <v>3.3872265966754163</v>
      </c>
      <c r="J40" s="41">
        <v>3.1734033245844238</v>
      </c>
      <c r="K40" s="41">
        <v>3.2169728783901999</v>
      </c>
      <c r="L40" s="42">
        <v>18.738057742782164</v>
      </c>
      <c r="M40" s="41">
        <v>6.909886264216988</v>
      </c>
      <c r="N40" s="41">
        <v>5.8885389326334181</v>
      </c>
      <c r="O40" s="41">
        <v>6.3609798775153141</v>
      </c>
      <c r="P40" s="43">
        <v>5.8113735783027165</v>
      </c>
      <c r="Q40" s="41">
        <v>10.045319335083118</v>
      </c>
      <c r="R40" s="41">
        <v>5.384951881014886</v>
      </c>
      <c r="S40" s="41">
        <v>18.780227471566022</v>
      </c>
      <c r="T40" s="41">
        <v>1.2745406824146948</v>
      </c>
      <c r="U40" s="41">
        <v>1.6936132983377052</v>
      </c>
      <c r="V40" s="41">
        <v>36.196325459317599</v>
      </c>
      <c r="W40" s="41">
        <v>7.6612423447069329</v>
      </c>
      <c r="X40" s="41">
        <v>8.1378827646544405</v>
      </c>
      <c r="Y40" s="41">
        <v>9.5497812773403012</v>
      </c>
      <c r="Z40" s="44">
        <v>6.2400699912511106</v>
      </c>
      <c r="AA40" s="34">
        <v>25.348906386701625</v>
      </c>
      <c r="AB40" s="44">
        <v>15.799125109361345</v>
      </c>
      <c r="AC40" s="44">
        <v>54.976552930883521</v>
      </c>
      <c r="AD40" s="44">
        <v>58.364129483814509</v>
      </c>
      <c r="AE40" s="34">
        <v>20.525459317585259</v>
      </c>
      <c r="AF40" s="34">
        <v>28.882589676290515</v>
      </c>
      <c r="AG40" s="41">
        <v>2.1705073247494173</v>
      </c>
      <c r="AH40" s="41">
        <v>1.8152037060634392</v>
      </c>
      <c r="AI40" s="41">
        <v>0.84474899194704622</v>
      </c>
      <c r="AJ40" s="41">
        <v>1.889264691150436</v>
      </c>
      <c r="AK40" s="41">
        <v>0.81984920808442374</v>
      </c>
      <c r="AL40" s="42">
        <v>4.9652111518493838</v>
      </c>
      <c r="AM40" s="41">
        <v>1.9557165526636486</v>
      </c>
      <c r="AN40" s="41">
        <v>0.74319542298399943</v>
      </c>
      <c r="AO40" s="41">
        <v>0.70786833684878381</v>
      </c>
      <c r="AP40" s="41">
        <v>0.72325171278146883</v>
      </c>
      <c r="AQ40" s="42">
        <v>3.2432281146406505</v>
      </c>
      <c r="AR40" s="41">
        <v>2.3275898228170959</v>
      </c>
      <c r="AS40" s="41">
        <v>2.2596581998776526</v>
      </c>
      <c r="AT40" s="41">
        <v>2.4507861100773094</v>
      </c>
      <c r="AU40" s="43">
        <v>2.1503131906510022</v>
      </c>
      <c r="AV40" s="41">
        <v>3.8329499705072072</v>
      </c>
      <c r="AW40" s="41">
        <v>2.236737283521034</v>
      </c>
      <c r="AX40" s="41">
        <v>5.6753241725449826</v>
      </c>
      <c r="AY40" s="41">
        <v>0.57728645844913051</v>
      </c>
      <c r="AZ40" s="41">
        <v>0.86552175671019438</v>
      </c>
      <c r="BA40" s="41">
        <v>10.236490647829577</v>
      </c>
      <c r="BB40" s="41">
        <v>2.3930451812802649</v>
      </c>
      <c r="BC40" s="41">
        <v>2.121829652636587</v>
      </c>
      <c r="BD40" s="41">
        <v>2.2419531846937679</v>
      </c>
      <c r="BE40" s="44">
        <v>1.2936548505085206</v>
      </c>
      <c r="BF40" s="34">
        <v>5.477134201963084</v>
      </c>
      <c r="BG40" s="44">
        <v>4.0916905223925708</v>
      </c>
      <c r="BH40" s="44">
        <v>14.451098293151395</v>
      </c>
      <c r="BI40" s="44">
        <v>10.247012648018082</v>
      </c>
      <c r="BJ40" s="34">
        <v>6.7633771265273728</v>
      </c>
      <c r="BK40" s="34">
        <v>5.7681584301510229</v>
      </c>
    </row>
    <row r="41" spans="1:63" x14ac:dyDescent="0.4">
      <c r="A41" s="40" t="s">
        <v>90</v>
      </c>
      <c r="B41" s="41">
        <v>8.4320473712542441</v>
      </c>
      <c r="C41" s="41">
        <v>8.703104252646753</v>
      </c>
      <c r="D41" s="41">
        <v>1.8243674860936752</v>
      </c>
      <c r="E41" s="41">
        <v>6.3501166337699431</v>
      </c>
      <c r="F41" s="41">
        <v>1.9685268257671023</v>
      </c>
      <c r="G41" s="42">
        <v>27.278162569531794</v>
      </c>
      <c r="H41" s="41">
        <v>8.256522519289339</v>
      </c>
      <c r="I41" s="41">
        <v>3.0475865781446076</v>
      </c>
      <c r="J41" s="41">
        <v>2.8624439260721379</v>
      </c>
      <c r="K41" s="41">
        <v>2.8213888390453787</v>
      </c>
      <c r="L41" s="42">
        <v>16.987941862551612</v>
      </c>
      <c r="M41" s="41">
        <v>6.387726538668578</v>
      </c>
      <c r="N41" s="41">
        <v>6.2895747353310005</v>
      </c>
      <c r="O41" s="41">
        <v>6.4728153597703448</v>
      </c>
      <c r="P41" s="43">
        <v>6.1326395119325632</v>
      </c>
      <c r="Q41" s="41">
        <v>10.595155212632266</v>
      </c>
      <c r="R41" s="41">
        <v>5.8014354925533738</v>
      </c>
      <c r="S41" s="41">
        <v>19.355033195765198</v>
      </c>
      <c r="T41" s="41">
        <v>1.317961600574191</v>
      </c>
      <c r="U41" s="41">
        <v>1.7637538130270991</v>
      </c>
      <c r="V41" s="41">
        <v>38.102458280997389</v>
      </c>
      <c r="W41" s="41">
        <v>7.6966445361564881</v>
      </c>
      <c r="X41" s="41">
        <v>7.9639332495963133</v>
      </c>
      <c r="Y41" s="41">
        <v>9.4190561636461734</v>
      </c>
      <c r="Z41" s="44">
        <v>5.8156109815180512</v>
      </c>
      <c r="AA41" s="34">
        <v>25.079633949398836</v>
      </c>
      <c r="AB41" s="44">
        <v>15.66057778575267</v>
      </c>
      <c r="AC41" s="44">
        <v>57.457491476763231</v>
      </c>
      <c r="AD41" s="44">
        <v>60.210586757580991</v>
      </c>
      <c r="AE41" s="34">
        <v>21.488605777857629</v>
      </c>
      <c r="AF41" s="34">
        <v>29.514947066212127</v>
      </c>
      <c r="AG41" s="41">
        <v>2.1258797785077812</v>
      </c>
      <c r="AH41" s="41">
        <v>1.7882722937284761</v>
      </c>
      <c r="AI41" s="41">
        <v>0.82490253987499462</v>
      </c>
      <c r="AJ41" s="41">
        <v>1.7598647571818966</v>
      </c>
      <c r="AK41" s="41">
        <v>0.85189066270184943</v>
      </c>
      <c r="AL41" s="42">
        <v>4.77742833408848</v>
      </c>
      <c r="AM41" s="41">
        <v>1.8688361891790664</v>
      </c>
      <c r="AN41" s="41">
        <v>0.73617266568681261</v>
      </c>
      <c r="AO41" s="41">
        <v>0.72420091618642446</v>
      </c>
      <c r="AP41" s="41">
        <v>0.77045398869179904</v>
      </c>
      <c r="AQ41" s="42">
        <v>3.0984072278312014</v>
      </c>
      <c r="AR41" s="41">
        <v>2.183784188514593</v>
      </c>
      <c r="AS41" s="41">
        <v>2.3131154771468658</v>
      </c>
      <c r="AT41" s="41">
        <v>2.3590898601451236</v>
      </c>
      <c r="AU41" s="43">
        <v>2.1685190879014393</v>
      </c>
      <c r="AV41" s="41">
        <v>3.8807775594269542</v>
      </c>
      <c r="AW41" s="41">
        <v>2.3019011742351574</v>
      </c>
      <c r="AX41" s="41">
        <v>5.6960234673240517</v>
      </c>
      <c r="AY41" s="41">
        <v>0.60948986905261104</v>
      </c>
      <c r="AZ41" s="41">
        <v>0.87746599619272536</v>
      </c>
      <c r="BA41" s="41">
        <v>10.166932265221773</v>
      </c>
      <c r="BB41" s="41">
        <v>2.1280155535380865</v>
      </c>
      <c r="BC41" s="41">
        <v>1.9952998255310344</v>
      </c>
      <c r="BD41" s="41">
        <v>2.194494988273314</v>
      </c>
      <c r="BE41" s="44">
        <v>1.2239330465607117</v>
      </c>
      <c r="BF41" s="34">
        <v>4.9914234951541987</v>
      </c>
      <c r="BG41" s="44">
        <v>3.7008708493677189</v>
      </c>
      <c r="BH41" s="44">
        <v>14.488169134995315</v>
      </c>
      <c r="BI41" s="44">
        <v>9.4700259203015555</v>
      </c>
      <c r="BJ41" s="34">
        <v>6.8124052760444691</v>
      </c>
      <c r="BK41" s="34">
        <v>5.2839757722955509</v>
      </c>
    </row>
    <row r="42" spans="1:63" x14ac:dyDescent="0.4">
      <c r="A42" s="40" t="s">
        <v>91</v>
      </c>
      <c r="B42" s="41">
        <v>7.7007492620903575</v>
      </c>
      <c r="C42" s="41">
        <v>8.5257700749261964</v>
      </c>
      <c r="D42" s="41">
        <v>2.2738212366608792</v>
      </c>
      <c r="E42" s="41">
        <v>6.0110497237568916</v>
      </c>
      <c r="F42" s="41">
        <v>2.2486944675698122</v>
      </c>
      <c r="G42" s="42">
        <v>26.760084765004052</v>
      </c>
      <c r="H42" s="41">
        <v>6.6791795958525544</v>
      </c>
      <c r="I42" s="41">
        <v>2.7913418602891307</v>
      </c>
      <c r="J42" s="41">
        <v>2.8149549685915294</v>
      </c>
      <c r="K42" s="41">
        <v>2.7659880420797696</v>
      </c>
      <c r="L42" s="42">
        <v>15.051464466812993</v>
      </c>
      <c r="M42" s="41">
        <v>6.5282676152274464</v>
      </c>
      <c r="N42" s="41">
        <v>6.2788163172632903</v>
      </c>
      <c r="O42" s="41">
        <v>6.879815333383795</v>
      </c>
      <c r="P42" s="43">
        <v>6.0577461590857364</v>
      </c>
      <c r="Q42" s="41">
        <v>10.349504276091757</v>
      </c>
      <c r="R42" s="41">
        <v>5.7240596382350875</v>
      </c>
      <c r="S42" s="41">
        <v>20.136456520093954</v>
      </c>
      <c r="T42" s="41">
        <v>1.3587376069022958</v>
      </c>
      <c r="U42" s="41">
        <v>1.7791568909407365</v>
      </c>
      <c r="V42" s="41">
        <v>38.037614470597312</v>
      </c>
      <c r="W42" s="41">
        <v>7.1926890183909649</v>
      </c>
      <c r="X42" s="41">
        <v>8.1104972375690689</v>
      </c>
      <c r="Y42" s="41">
        <v>9.6811473548778046</v>
      </c>
      <c r="Z42" s="44">
        <v>5.7665935063952185</v>
      </c>
      <c r="AA42" s="34">
        <v>24.984333610837702</v>
      </c>
      <c r="AB42" s="44">
        <v>15.30318625596003</v>
      </c>
      <c r="AC42" s="44">
        <v>58.174070990691135</v>
      </c>
      <c r="AD42" s="44">
        <v>61.724286687353448</v>
      </c>
      <c r="AE42" s="34">
        <v>21.799515628547717</v>
      </c>
      <c r="AF42" s="34">
        <v>30.718383410277823</v>
      </c>
      <c r="AG42" s="41">
        <v>2.1971199218125057</v>
      </c>
      <c r="AH42" s="41">
        <v>2.0097114222489965</v>
      </c>
      <c r="AI42" s="41">
        <v>1.1229756828754012</v>
      </c>
      <c r="AJ42" s="41">
        <v>1.9282934626753399</v>
      </c>
      <c r="AK42" s="41">
        <v>0.96560552720996984</v>
      </c>
      <c r="AL42" s="42">
        <v>5.5719461652009592</v>
      </c>
      <c r="AM42" s="41">
        <v>2.1271467813052554</v>
      </c>
      <c r="AN42" s="41">
        <v>0.7943054167805581</v>
      </c>
      <c r="AO42" s="41">
        <v>0.76591821155873341</v>
      </c>
      <c r="AP42" s="41">
        <v>0.83955150659236866</v>
      </c>
      <c r="AQ42" s="42">
        <v>3.3056411494922453</v>
      </c>
      <c r="AR42" s="41">
        <v>2.351471799105517</v>
      </c>
      <c r="AS42" s="41">
        <v>2.4043752487087393</v>
      </c>
      <c r="AT42" s="41">
        <v>2.5485469070386229</v>
      </c>
      <c r="AU42" s="43">
        <v>2.2920134686085265</v>
      </c>
      <c r="AV42" s="41">
        <v>3.9406164699525483</v>
      </c>
      <c r="AW42" s="41">
        <v>2.3596209843751357</v>
      </c>
      <c r="AX42" s="41">
        <v>6.0473643239010153</v>
      </c>
      <c r="AY42" s="41">
        <v>0.6534558301029082</v>
      </c>
      <c r="AZ42" s="41">
        <v>0.89923689381737726</v>
      </c>
      <c r="BA42" s="41">
        <v>10.633905701570077</v>
      </c>
      <c r="BB42" s="41">
        <v>2.2258801332242379</v>
      </c>
      <c r="BC42" s="41">
        <v>2.1207971033799771</v>
      </c>
      <c r="BD42" s="41">
        <v>2.2140195725724476</v>
      </c>
      <c r="BE42" s="44">
        <v>1.2698372758206069</v>
      </c>
      <c r="BF42" s="34">
        <v>5.1049962545347176</v>
      </c>
      <c r="BG42" s="44">
        <v>3.8373437523589211</v>
      </c>
      <c r="BH42" s="44">
        <v>15.281934240557156</v>
      </c>
      <c r="BI42" s="44">
        <v>10.154545179333452</v>
      </c>
      <c r="BJ42" s="34">
        <v>7.0898386908823641</v>
      </c>
      <c r="BK42" s="34">
        <v>5.6048553884957037</v>
      </c>
    </row>
    <row r="43" spans="1:63" x14ac:dyDescent="0.4">
      <c r="A43" s="40" t="s">
        <v>92</v>
      </c>
      <c r="B43" s="41">
        <v>8.5875136911281373</v>
      </c>
      <c r="C43" s="41">
        <v>9.2114184008762088</v>
      </c>
      <c r="D43" s="41">
        <v>3.0694414019715102</v>
      </c>
      <c r="E43" s="41">
        <v>6.41607338444686</v>
      </c>
      <c r="F43" s="41">
        <v>2.3746714129244233</v>
      </c>
      <c r="G43" s="42">
        <v>29.659118291347287</v>
      </c>
      <c r="H43" s="41">
        <v>7.0317634173055739</v>
      </c>
      <c r="I43" s="41">
        <v>2.9267798466593709</v>
      </c>
      <c r="J43" s="41">
        <v>2.7383351588170757</v>
      </c>
      <c r="K43" s="41">
        <v>2.7862814895947512</v>
      </c>
      <c r="L43" s="42">
        <v>15.483159912376811</v>
      </c>
      <c r="M43" s="41">
        <v>6.4220153340635289</v>
      </c>
      <c r="N43" s="41">
        <v>6.5038882803943414</v>
      </c>
      <c r="O43" s="41">
        <v>7.193838992332978</v>
      </c>
      <c r="P43" s="43">
        <v>6.240662650602431</v>
      </c>
      <c r="Q43" s="41">
        <v>10.789950711938607</v>
      </c>
      <c r="R43" s="41">
        <v>5.9964403066812739</v>
      </c>
      <c r="S43" s="41">
        <v>19.755777656079001</v>
      </c>
      <c r="T43" s="41">
        <v>1.3718784227820298</v>
      </c>
      <c r="U43" s="41">
        <v>1.8614731653888246</v>
      </c>
      <c r="V43" s="41">
        <v>39.306325301204652</v>
      </c>
      <c r="W43" s="41">
        <v>7.3682092004381321</v>
      </c>
      <c r="X43" s="41">
        <v>8.1791073384446928</v>
      </c>
      <c r="Y43" s="41">
        <v>9.586527929901397</v>
      </c>
      <c r="Z43" s="44">
        <v>5.6923329682366015</v>
      </c>
      <c r="AA43" s="34">
        <v>25.133844468784076</v>
      </c>
      <c r="AB43" s="44">
        <v>15.547316538882816</v>
      </c>
      <c r="AC43" s="44">
        <v>59.062102957284097</v>
      </c>
      <c r="AD43" s="44">
        <v>64.042113910186785</v>
      </c>
      <c r="AE43" s="34">
        <v>22.664293537787511</v>
      </c>
      <c r="AF43" s="34">
        <v>31.008433734939917</v>
      </c>
      <c r="AG43" s="41">
        <v>2.1539397262818269</v>
      </c>
      <c r="AH43" s="41">
        <v>2.0303472584894116</v>
      </c>
      <c r="AI43" s="41">
        <v>0.88672025242609243</v>
      </c>
      <c r="AJ43" s="41">
        <v>1.8392262564049848</v>
      </c>
      <c r="AK43" s="41">
        <v>0.97140545143712609</v>
      </c>
      <c r="AL43" s="42">
        <v>5.2407087465729418</v>
      </c>
      <c r="AM43" s="41">
        <v>1.8805563231545877</v>
      </c>
      <c r="AN43" s="41">
        <v>0.76163464528230618</v>
      </c>
      <c r="AO43" s="41">
        <v>0.72925982741434159</v>
      </c>
      <c r="AP43" s="41">
        <v>0.82548416624329646</v>
      </c>
      <c r="AQ43" s="42">
        <v>3.0214493001783587</v>
      </c>
      <c r="AR43" s="41">
        <v>2.2406977012359874</v>
      </c>
      <c r="AS43" s="41">
        <v>2.3457154332731647</v>
      </c>
      <c r="AT43" s="41">
        <v>2.4543300444004648</v>
      </c>
      <c r="AU43" s="43">
        <v>2.2275948978897007</v>
      </c>
      <c r="AV43" s="41">
        <v>3.9898818876300921</v>
      </c>
      <c r="AW43" s="41">
        <v>2.3589283086037995</v>
      </c>
      <c r="AX43" s="41">
        <v>6.2142854676504298</v>
      </c>
      <c r="AY43" s="41">
        <v>0.66221271160198103</v>
      </c>
      <c r="AZ43" s="41">
        <v>0.91217613510294837</v>
      </c>
      <c r="BA43" s="41">
        <v>10.291187713859037</v>
      </c>
      <c r="BB43" s="41">
        <v>2.1567435597928286</v>
      </c>
      <c r="BC43" s="41">
        <v>2.1189823563038366</v>
      </c>
      <c r="BD43" s="41">
        <v>2.244108800622469</v>
      </c>
      <c r="BE43" s="44">
        <v>1.2634452099718856</v>
      </c>
      <c r="BF43" s="34">
        <v>5.2080507125246092</v>
      </c>
      <c r="BG43" s="44">
        <v>3.8318108466624032</v>
      </c>
      <c r="BH43" s="44">
        <v>15.110796977225084</v>
      </c>
      <c r="BI43" s="44">
        <v>9.5941453664732137</v>
      </c>
      <c r="BJ43" s="34">
        <v>6.9328027648668522</v>
      </c>
      <c r="BK43" s="34">
        <v>5.3579896797286688</v>
      </c>
    </row>
  </sheetData>
  <sheetProtection sheet="1" objects="1" scenarios="1" selectLockedCells="1" selectUn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偏差値・効果量 自動計算表（57項目版・23項目版）</vt:lpstr>
      <vt:lpstr>DATA</vt:lpstr>
      <vt:lpstr>'偏差値・効果量 自動計算表（57項目版・23項目版）'!Print_Area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Akiomi INOUE</dc:creator>
  <cp:lastModifiedBy>Akiomi INOUE</cp:lastModifiedBy>
  <cp:lastPrinted>2025-03-20T08:51:49Z</cp:lastPrinted>
  <dcterms:created xsi:type="dcterms:W3CDTF">2023-09-26T23:34:17Z</dcterms:created>
  <dcterms:modified xsi:type="dcterms:W3CDTF">2025-04-16T05:04:18Z</dcterms:modified>
</cp:coreProperties>
</file>